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Лист2 (2)" sheetId="1" r:id="rId1"/>
    <sheet name="Лист1" sheetId="2" r:id="rId2"/>
  </sheets>
  <definedNames>
    <definedName name="_xlnm.Print_Area" localSheetId="0">'Лист2 (2)'!$A$3:$AK$36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<sst xmlns="http://schemas.openxmlformats.org/spreadsheetml/2006/main" count="264" uniqueCount="154">
  <si>
    <t>1-4</t>
  </si>
  <si>
    <t>5-9</t>
  </si>
  <si>
    <t>10-11</t>
  </si>
  <si>
    <t>итого:</t>
  </si>
  <si>
    <t>"Утверждаю"</t>
  </si>
  <si>
    <t>Приложение№1</t>
  </si>
  <si>
    <t>К инструкции о порядке исчисления заработной платы</t>
  </si>
  <si>
    <t>работников просвещения 2009  года</t>
  </si>
  <si>
    <t>№  п/п</t>
  </si>
  <si>
    <t>Ф.И.О</t>
  </si>
  <si>
    <t>Категория</t>
  </si>
  <si>
    <t>Коэффициент</t>
  </si>
  <si>
    <t>Число часов в неделю</t>
  </si>
  <si>
    <t>Доплата за проверку тетрадей</t>
  </si>
  <si>
    <t>Дополнительная оплата</t>
  </si>
  <si>
    <t>часы 5-9 (10%)</t>
  </si>
  <si>
    <t>ИТОГО:</t>
  </si>
  <si>
    <t>Должностной оклад (17697* коэф)</t>
  </si>
  <si>
    <t>Директор школы</t>
  </si>
  <si>
    <t>Показатели</t>
  </si>
  <si>
    <t>Число классов</t>
  </si>
  <si>
    <t>Число учащихся</t>
  </si>
  <si>
    <t>Общее число часов преподавательской работы в неделю по тарификации</t>
  </si>
  <si>
    <t>Численность мальчиков</t>
  </si>
  <si>
    <t>Численность девочек</t>
  </si>
  <si>
    <t xml:space="preserve">Всего учащихся </t>
  </si>
  <si>
    <t>Число класс комплектов</t>
  </si>
  <si>
    <t>1-4 классы</t>
  </si>
  <si>
    <t>5-9 классы</t>
  </si>
  <si>
    <t>10-11 классы</t>
  </si>
  <si>
    <t>часы 1-4 классы</t>
  </si>
  <si>
    <t>5-9 классы (10%)</t>
  </si>
  <si>
    <t>Прочие надбавки</t>
  </si>
  <si>
    <t>Педагогический стаж</t>
  </si>
  <si>
    <t>Всего заработная плата в месяц</t>
  </si>
  <si>
    <t>Заработная плата в месяц</t>
  </si>
  <si>
    <t xml:space="preserve">        ТАРИФИКАЦИОННЫЙ СПИСОК</t>
  </si>
  <si>
    <t>Занимаемая должность преподаваемого  предмета</t>
  </si>
  <si>
    <t xml:space="preserve">Образование </t>
  </si>
  <si>
    <t>заведующий мастерской</t>
  </si>
  <si>
    <t>классное  руководство</t>
  </si>
  <si>
    <t>внеклассная работа</t>
  </si>
  <si>
    <t xml:space="preserve"> За категорию</t>
  </si>
  <si>
    <t>Рамазанова Гульнара Молдагалиевна</t>
  </si>
  <si>
    <t>Уразбаева Сауле Кагировна</t>
  </si>
  <si>
    <t>Омирбек Манаргуль</t>
  </si>
  <si>
    <t>Жолдбай Жанарбек</t>
  </si>
  <si>
    <t>физика</t>
  </si>
  <si>
    <t>математика</t>
  </si>
  <si>
    <t>информатика</t>
  </si>
  <si>
    <t>биология</t>
  </si>
  <si>
    <t>английский яз</t>
  </si>
  <si>
    <t>Р.Таханова</t>
  </si>
  <si>
    <t>высшее/вторая</t>
  </si>
  <si>
    <t>высшее/первая</t>
  </si>
  <si>
    <t>часы 10-11</t>
  </si>
  <si>
    <t>высшее/ первая</t>
  </si>
  <si>
    <t>начальные классы</t>
  </si>
  <si>
    <t>______________К.Ашимов</t>
  </si>
  <si>
    <t>высшее/ б/к</t>
  </si>
  <si>
    <t>В-2-2</t>
  </si>
  <si>
    <t>В-2-3</t>
  </si>
  <si>
    <t>В-4-3</t>
  </si>
  <si>
    <t>В-2-4</t>
  </si>
  <si>
    <t>Кировская ОШ</t>
  </si>
  <si>
    <t>Таханова  Райхан Мыктыбаевна</t>
  </si>
  <si>
    <t>химия</t>
  </si>
  <si>
    <t>Анисова Замзагуль Амангельдиновна</t>
  </si>
  <si>
    <t>высшее,б/к</t>
  </si>
  <si>
    <t>физкультура</t>
  </si>
  <si>
    <t>русский язык</t>
  </si>
  <si>
    <t>учитель начальн.классов</t>
  </si>
  <si>
    <t>учитель математики</t>
  </si>
  <si>
    <t xml:space="preserve">      руководитель  ГУ "Отдел образования "</t>
  </si>
  <si>
    <t xml:space="preserve">адрес школы:                                   Акмолинская область, Аккольский  район, с.Рамадан </t>
  </si>
  <si>
    <t>ср/спец,вторая</t>
  </si>
  <si>
    <t>казахский язык и литер</t>
  </si>
  <si>
    <t>учитель англ</t>
  </si>
  <si>
    <t>учитель русск яз</t>
  </si>
  <si>
    <t>учитель биологии</t>
  </si>
  <si>
    <t>Хажднаби Акбар</t>
  </si>
  <si>
    <t>среднее специальное,б/к</t>
  </si>
  <si>
    <t>Крикпаева Халима Жиеншевна</t>
  </si>
  <si>
    <t>учитель информатики</t>
  </si>
  <si>
    <t>музыка</t>
  </si>
  <si>
    <t>учитель музыки</t>
  </si>
  <si>
    <t>көркем енбек,сызу</t>
  </si>
  <si>
    <t>учитель технологии</t>
  </si>
  <si>
    <t>Оплата по ОСО</t>
  </si>
  <si>
    <t>Часы по ОСО</t>
  </si>
  <si>
    <t>В-4-4</t>
  </si>
  <si>
    <t>история,религиов,право,география</t>
  </si>
  <si>
    <t>высшее/б/к</t>
  </si>
  <si>
    <t>казахский язык</t>
  </si>
  <si>
    <t>учитель казахского языка</t>
  </si>
  <si>
    <t>на  01 января  2019  года</t>
  </si>
  <si>
    <t>01 января 2019 года</t>
  </si>
  <si>
    <t>Мельдечева Шолпан Агибайкызы</t>
  </si>
  <si>
    <t>классное  руководство %</t>
  </si>
  <si>
    <t xml:space="preserve">Главный экономист                                             </t>
  </si>
  <si>
    <t>А. Каримова</t>
  </si>
  <si>
    <t>В-3-4</t>
  </si>
  <si>
    <t>педагог-психолог 0,5 ст</t>
  </si>
  <si>
    <t>предшкольн класс 0,5 ст</t>
  </si>
  <si>
    <t>З/п+ ОСО</t>
  </si>
  <si>
    <t>З/П</t>
  </si>
  <si>
    <t xml:space="preserve">      Учебный  2018 - 2019 год</t>
  </si>
  <si>
    <t>биология Омирбек Манаргуль</t>
  </si>
  <si>
    <t>Ардабайулы Бекзада</t>
  </si>
  <si>
    <t>высшее, б/к</t>
  </si>
  <si>
    <t>история</t>
  </si>
  <si>
    <t>музыка Уразбаева</t>
  </si>
  <si>
    <t>высшее/первая эксперт</t>
  </si>
  <si>
    <t>высшее/вторая  модератор</t>
  </si>
  <si>
    <t>высшее, вторая   модератор</t>
  </si>
  <si>
    <t>Уразбаева Сауле Кагировна  0,5 ставки</t>
  </si>
  <si>
    <t>Главный экономист                                  Каримова А.</t>
  </si>
  <si>
    <t>25 % увеличения ДО</t>
  </si>
  <si>
    <t>Новый Должностной оклад  25%</t>
  </si>
  <si>
    <t>Доплаты за ОСО</t>
  </si>
  <si>
    <t>Доплаты за квалтест</t>
  </si>
  <si>
    <t>Доплаты полиязычие</t>
  </si>
  <si>
    <t>количество часов ОСО</t>
  </si>
  <si>
    <t>сумма доплаты ОСО</t>
  </si>
  <si>
    <t>Темирханова Милана Н.</t>
  </si>
  <si>
    <t xml:space="preserve"> Рязанова Анастасия Леонидовна</t>
  </si>
  <si>
    <t>высшее, 2 категория педагог-модератор</t>
  </si>
  <si>
    <t>начальные классы , доплата за работу с книжным фондом</t>
  </si>
  <si>
    <t>01 сентября 2020  года</t>
  </si>
  <si>
    <t>на  01 сентября  2020  года</t>
  </si>
  <si>
    <t xml:space="preserve"> Учебный  2020 - 2021  год</t>
  </si>
  <si>
    <t>высшее/без кат</t>
  </si>
  <si>
    <t>казахский язык и литер,математ</t>
  </si>
  <si>
    <t>среднее специальное,эксперт</t>
  </si>
  <si>
    <t>география,,информат</t>
  </si>
  <si>
    <t xml:space="preserve">самопознание </t>
  </si>
  <si>
    <t>высшее/п, без категории</t>
  </si>
  <si>
    <t>краеведение</t>
  </si>
  <si>
    <t>Калиев Берик Улиханович</t>
  </si>
  <si>
    <t>учитель англ в нач классах</t>
  </si>
  <si>
    <t>В-4-2</t>
  </si>
  <si>
    <t>высшее,п-исследователь</t>
  </si>
  <si>
    <t xml:space="preserve">часы 5-9 </t>
  </si>
  <si>
    <t>общее количество часов</t>
  </si>
  <si>
    <t>классное  руководство                            50%       60%</t>
  </si>
  <si>
    <t>за степень магистра</t>
  </si>
  <si>
    <t>за наставничество</t>
  </si>
  <si>
    <t>В-2-1</t>
  </si>
  <si>
    <t>КГУ " ОШ села Рамадан"</t>
  </si>
  <si>
    <t>б/к</t>
  </si>
  <si>
    <t xml:space="preserve">физика,технология </t>
  </si>
  <si>
    <t>учитель биологии/вакансия/</t>
  </si>
  <si>
    <t>учитель каз яз/вакансия/</t>
  </si>
  <si>
    <t>учитель нач кл/вакансия/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</si>
</sst>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0_р_."/>
    <numFmt numFmtId="191" formatCode="0.0"/>
    <numFmt numFmtId="192" formatCode="[$-FC19]d\ mmmm\ yyyy\ &quot;г.&quot;"/>
    <numFmt numFmtId="193" formatCode="#,##0.0"/>
    <numFmt numFmtId="194" formatCode="0.000"/>
    <numFmt numFmtId="195" formatCode="_-* #,##0.0_р_._-;\-* #,##0.0_р_._-;_-* &quot;-&quot;??_р_._-;_-@_-"/>
    <numFmt numFmtId="196" formatCode="_-* #,##0_р_._-;\-* #,##0_р_._-;_-* &quot;-&quot;??_р_._-;_-@_-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8"/>
      <name val="Arial Cyr"/>
      <family val="2"/>
    </font>
    <font>
      <sz val="2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1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49" fontId="23" fillId="0" borderId="11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194" fontId="22" fillId="0" borderId="11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0" fontId="22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/>
    </xf>
    <xf numFmtId="0" fontId="22" fillId="24" borderId="11" xfId="0" applyFont="1" applyFill="1" applyBorder="1" applyAlignment="1">
      <alignment wrapText="1"/>
    </xf>
    <xf numFmtId="1" fontId="22" fillId="24" borderId="11" xfId="0" applyNumberFormat="1" applyFont="1" applyFill="1" applyBorder="1" applyAlignment="1">
      <alignment horizontal="center" wrapText="1"/>
    </xf>
    <xf numFmtId="0" fontId="22" fillId="24" borderId="11" xfId="0" applyFont="1" applyFill="1" applyBorder="1" applyAlignment="1">
      <alignment/>
    </xf>
    <xf numFmtId="2" fontId="22" fillId="24" borderId="11" xfId="0" applyNumberFormat="1" applyFont="1" applyFill="1" applyBorder="1" applyAlignment="1">
      <alignment/>
    </xf>
    <xf numFmtId="2" fontId="22" fillId="24" borderId="11" xfId="0" applyNumberFormat="1" applyFont="1" applyFill="1" applyBorder="1" applyAlignment="1">
      <alignment/>
    </xf>
    <xf numFmtId="1" fontId="22" fillId="24" borderId="11" xfId="0" applyNumberFormat="1" applyFont="1" applyFill="1" applyBorder="1" applyAlignment="1">
      <alignment/>
    </xf>
    <xf numFmtId="0" fontId="22" fillId="25" borderId="11" xfId="0" applyFont="1" applyFill="1" applyBorder="1" applyAlignment="1">
      <alignment wrapText="1"/>
    </xf>
    <xf numFmtId="2" fontId="24" fillId="0" borderId="16" xfId="0" applyNumberFormat="1" applyFont="1" applyFill="1" applyBorder="1" applyAlignment="1">
      <alignment/>
    </xf>
    <xf numFmtId="2" fontId="24" fillId="24" borderId="16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" fontId="31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vertical="top"/>
    </xf>
    <xf numFmtId="1" fontId="31" fillId="0" borderId="0" xfId="0" applyNumberFormat="1" applyFont="1" applyFill="1" applyAlignment="1">
      <alignment horizontal="left"/>
    </xf>
    <xf numFmtId="2" fontId="24" fillId="25" borderId="16" xfId="0" applyNumberFormat="1" applyFont="1" applyFill="1" applyBorder="1" applyAlignment="1">
      <alignment/>
    </xf>
    <xf numFmtId="0" fontId="22" fillId="25" borderId="11" xfId="0" applyFont="1" applyFill="1" applyBorder="1" applyAlignment="1">
      <alignment/>
    </xf>
    <xf numFmtId="196" fontId="23" fillId="0" borderId="11" xfId="58" applyNumberFormat="1" applyFont="1" applyFill="1" applyBorder="1" applyAlignment="1">
      <alignment/>
    </xf>
    <xf numFmtId="0" fontId="23" fillId="25" borderId="11" xfId="0" applyFont="1" applyFill="1" applyBorder="1" applyAlignment="1">
      <alignment horizontal="center" vertical="center" textRotation="90"/>
    </xf>
    <xf numFmtId="0" fontId="23" fillId="25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 wrapText="1"/>
    </xf>
    <xf numFmtId="1" fontId="22" fillId="24" borderId="11" xfId="0" applyNumberFormat="1" applyFont="1" applyFill="1" applyBorder="1" applyAlignment="1">
      <alignment wrapText="1"/>
    </xf>
    <xf numFmtId="0" fontId="19" fillId="0" borderId="0" xfId="0" applyFont="1" applyFill="1" applyAlignment="1" applyProtection="1">
      <alignment/>
      <protection locked="0"/>
    </xf>
    <xf numFmtId="0" fontId="19" fillId="24" borderId="0" xfId="0" applyFont="1" applyFill="1" applyAlignment="1" applyProtection="1">
      <alignment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 horizontal="center"/>
      <protection locked="0"/>
    </xf>
    <xf numFmtId="0" fontId="31" fillId="24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1" fillId="24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 horizontal="left" vertical="top"/>
      <protection locked="0"/>
    </xf>
    <xf numFmtId="0" fontId="31" fillId="24" borderId="0" xfId="0" applyFont="1" applyFill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2" fillId="24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25" borderId="11" xfId="0" applyFont="1" applyFill="1" applyBorder="1" applyAlignment="1" applyProtection="1">
      <alignment horizontal="center" vertical="center" textRotation="90"/>
      <protection locked="0"/>
    </xf>
    <xf numFmtId="0" fontId="29" fillId="0" borderId="11" xfId="0" applyFont="1" applyFill="1" applyBorder="1" applyAlignment="1" applyProtection="1">
      <alignment horizontal="center" vertical="center" textRotation="90"/>
      <protection locked="0"/>
    </xf>
    <xf numFmtId="0" fontId="29" fillId="24" borderId="11" xfId="0" applyFont="1" applyFill="1" applyBorder="1" applyAlignment="1" applyProtection="1">
      <alignment horizontal="center" vertical="center" wrapText="1"/>
      <protection locked="0"/>
    </xf>
    <xf numFmtId="0" fontId="29" fillId="25" borderId="11" xfId="0" applyFont="1" applyFill="1" applyBorder="1" applyAlignment="1" applyProtection="1">
      <alignment horizontal="center" vertical="center" wrapText="1"/>
      <protection locked="0"/>
    </xf>
    <xf numFmtId="0" fontId="29" fillId="24" borderId="11" xfId="0" applyFont="1" applyFill="1" applyBorder="1" applyAlignment="1" applyProtection="1">
      <alignment horizontal="center" vertical="center" textRotation="90"/>
      <protection locked="0"/>
    </xf>
    <xf numFmtId="0" fontId="29" fillId="24" borderId="11" xfId="0" applyFont="1" applyFill="1" applyBorder="1" applyAlignment="1" applyProtection="1">
      <alignment horizontal="center" vertical="center" textRotation="90" wrapText="1"/>
      <protection locked="0"/>
    </xf>
    <xf numFmtId="9" fontId="29" fillId="25" borderId="11" xfId="0" applyNumberFormat="1" applyFont="1" applyFill="1" applyBorder="1" applyAlignment="1" applyProtection="1">
      <alignment horizontal="center" vertical="center" textRotation="90"/>
      <protection locked="0"/>
    </xf>
    <xf numFmtId="0" fontId="29" fillId="25" borderId="18" xfId="0" applyFont="1" applyFill="1" applyBorder="1" applyAlignment="1" applyProtection="1">
      <alignment horizontal="center" vertical="center" wrapText="1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 wrapText="1"/>
      <protection locked="0"/>
    </xf>
    <xf numFmtId="0" fontId="29" fillId="24" borderId="11" xfId="0" applyFont="1" applyFill="1" applyBorder="1" applyAlignment="1" applyProtection="1">
      <alignment/>
      <protection locked="0"/>
    </xf>
    <xf numFmtId="196" fontId="29" fillId="24" borderId="11" xfId="58" applyNumberFormat="1" applyFont="1" applyFill="1" applyBorder="1" applyAlignment="1" applyProtection="1">
      <alignment/>
      <protection locked="0"/>
    </xf>
    <xf numFmtId="196" fontId="29" fillId="24" borderId="11" xfId="0" applyNumberFormat="1" applyFont="1" applyFill="1" applyBorder="1" applyAlignment="1" applyProtection="1">
      <alignment/>
      <protection locked="0"/>
    </xf>
    <xf numFmtId="196" fontId="29" fillId="24" borderId="11" xfId="58" applyNumberFormat="1" applyFont="1" applyFill="1" applyBorder="1" applyAlignment="1" applyProtection="1">
      <alignment/>
      <protection locked="0"/>
    </xf>
    <xf numFmtId="196" fontId="34" fillId="24" borderId="11" xfId="58" applyNumberFormat="1" applyFont="1" applyFill="1" applyBorder="1" applyAlignment="1" applyProtection="1">
      <alignment horizontal="right" wrapText="1"/>
      <protection locked="0"/>
    </xf>
    <xf numFmtId="196" fontId="29" fillId="24" borderId="11" xfId="0" applyNumberFormat="1" applyFont="1" applyFill="1" applyBorder="1" applyAlignment="1" applyProtection="1">
      <alignment wrapText="1"/>
      <protection locked="0"/>
    </xf>
    <xf numFmtId="196" fontId="29" fillId="24" borderId="18" xfId="58" applyNumberFormat="1" applyFont="1" applyFill="1" applyBorder="1" applyAlignment="1" applyProtection="1">
      <alignment/>
      <protection locked="0"/>
    </xf>
    <xf numFmtId="196" fontId="22" fillId="24" borderId="0" xfId="58" applyNumberFormat="1" applyFont="1" applyFill="1" applyBorder="1" applyAlignment="1" applyProtection="1">
      <alignment/>
      <protection locked="0"/>
    </xf>
    <xf numFmtId="2" fontId="24" fillId="24" borderId="16" xfId="0" applyNumberFormat="1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 applyProtection="1">
      <alignment/>
      <protection locked="0"/>
    </xf>
    <xf numFmtId="0" fontId="29" fillId="24" borderId="11" xfId="0" applyFont="1" applyFill="1" applyBorder="1" applyAlignment="1" applyProtection="1">
      <alignment horizontal="left" vertical="center" wrapText="1"/>
      <protection locked="0"/>
    </xf>
    <xf numFmtId="2" fontId="24" fillId="24" borderId="0" xfId="0" applyNumberFormat="1" applyFont="1" applyFill="1" applyBorder="1" applyAlignment="1" applyProtection="1">
      <alignment/>
      <protection locked="0"/>
    </xf>
    <xf numFmtId="0" fontId="29" fillId="26" borderId="11" xfId="0" applyFont="1" applyFill="1" applyBorder="1" applyAlignment="1" applyProtection="1">
      <alignment/>
      <protection locked="0"/>
    </xf>
    <xf numFmtId="196" fontId="29" fillId="26" borderId="11" xfId="58" applyNumberFormat="1" applyFont="1" applyFill="1" applyBorder="1" applyAlignment="1" applyProtection="1">
      <alignment/>
      <protection locked="0"/>
    </xf>
    <xf numFmtId="196" fontId="23" fillId="26" borderId="0" xfId="58" applyNumberFormat="1" applyFont="1" applyFill="1" applyBorder="1" applyAlignment="1" applyProtection="1">
      <alignment/>
      <protection locked="0"/>
    </xf>
    <xf numFmtId="2" fontId="23" fillId="26" borderId="13" xfId="0" applyNumberFormat="1" applyFont="1" applyFill="1" applyBorder="1" applyAlignment="1" applyProtection="1">
      <alignment/>
      <protection locked="0"/>
    </xf>
    <xf numFmtId="0" fontId="21" fillId="26" borderId="13" xfId="0" applyFont="1" applyFill="1" applyBorder="1" applyAlignment="1" applyProtection="1">
      <alignment/>
      <protection locked="0"/>
    </xf>
    <xf numFmtId="1" fontId="22" fillId="0" borderId="0" xfId="0" applyNumberFormat="1" applyFont="1" applyFill="1" applyAlignment="1" applyProtection="1">
      <alignment/>
      <protection locked="0"/>
    </xf>
    <xf numFmtId="196" fontId="22" fillId="0" borderId="0" xfId="0" applyNumberFormat="1" applyFont="1" applyFill="1" applyAlignment="1" applyProtection="1">
      <alignment/>
      <protection locked="0"/>
    </xf>
    <xf numFmtId="195" fontId="33" fillId="0" borderId="0" xfId="58" applyNumberFormat="1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7" fillId="24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1" fontId="30" fillId="0" borderId="0" xfId="0" applyNumberFormat="1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24" borderId="0" xfId="0" applyFont="1" applyFill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1" fontId="2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29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9" fontId="29" fillId="24" borderId="14" xfId="0" applyNumberFormat="1" applyFont="1" applyFill="1" applyBorder="1" applyAlignment="1" applyProtection="1">
      <alignment horizontal="center" vertical="center"/>
      <protection locked="0"/>
    </xf>
    <xf numFmtId="9" fontId="29" fillId="24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2" fontId="19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2" fontId="23" fillId="0" borderId="11" xfId="0" applyNumberFormat="1" applyFont="1" applyFill="1" applyBorder="1" applyAlignment="1" applyProtection="1">
      <alignment wrapText="1"/>
      <protection locked="0"/>
    </xf>
    <xf numFmtId="2" fontId="22" fillId="0" borderId="11" xfId="0" applyNumberFormat="1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9" fillId="24" borderId="14" xfId="0" applyFont="1" applyFill="1" applyBorder="1" applyAlignment="1" applyProtection="1">
      <alignment horizontal="center" vertical="center" textRotation="90" wrapText="1"/>
      <protection locked="0"/>
    </xf>
    <xf numFmtId="0" fontId="29" fillId="24" borderId="15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20" xfId="0" applyFont="1" applyFill="1" applyBorder="1" applyAlignment="1" applyProtection="1">
      <alignment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9" fontId="29" fillId="24" borderId="11" xfId="0" applyNumberFormat="1" applyFont="1" applyFill="1" applyBorder="1" applyAlignment="1" applyProtection="1">
      <alignment horizontal="center"/>
      <protection locked="0"/>
    </xf>
    <xf numFmtId="9" fontId="29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9" fontId="29" fillId="25" borderId="15" xfId="0" applyNumberFormat="1" applyFont="1" applyFill="1" applyBorder="1" applyAlignment="1" applyProtection="1">
      <alignment horizontal="center" vertical="center" textRotation="90" wrapText="1"/>
      <protection locked="0"/>
    </xf>
    <xf numFmtId="9" fontId="29" fillId="24" borderId="14" xfId="0" applyNumberFormat="1" applyFont="1" applyFill="1" applyBorder="1" applyAlignment="1" applyProtection="1">
      <alignment horizontal="center" vertical="center" textRotation="90"/>
      <protection locked="0"/>
    </xf>
    <xf numFmtId="9" fontId="29" fillId="24" borderId="15" xfId="0" applyNumberFormat="1" applyFont="1" applyFill="1" applyBorder="1" applyAlignment="1" applyProtection="1">
      <alignment horizontal="center" vertical="center" textRotation="90"/>
      <protection locked="0"/>
    </xf>
    <xf numFmtId="0" fontId="29" fillId="24" borderId="11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29" fillId="24" borderId="14" xfId="0" applyFont="1" applyFill="1" applyBorder="1" applyAlignment="1" applyProtection="1">
      <alignment horizontal="left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5" borderId="18" xfId="0" applyFont="1" applyFill="1" applyBorder="1" applyAlignment="1" applyProtection="1">
      <alignment horizontal="center" vertical="center" wrapText="1"/>
      <protection locked="0"/>
    </xf>
    <xf numFmtId="0" fontId="29" fillId="25" borderId="19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9" fontId="29" fillId="25" borderId="14" xfId="0" applyNumberFormat="1" applyFont="1" applyFill="1" applyBorder="1" applyAlignment="1" applyProtection="1">
      <alignment horizontal="center" vertical="center"/>
      <protection locked="0"/>
    </xf>
    <xf numFmtId="9" fontId="29" fillId="25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 wrapText="1"/>
    </xf>
    <xf numFmtId="2" fontId="22" fillId="0" borderId="11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right"/>
    </xf>
    <xf numFmtId="2" fontId="23" fillId="0" borderId="11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2" fontId="22" fillId="0" borderId="23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25" borderId="14" xfId="0" applyFont="1" applyFill="1" applyBorder="1" applyAlignment="1">
      <alignment horizontal="center" vertical="center" textRotation="90" wrapText="1"/>
    </xf>
    <xf numFmtId="0" fontId="23" fillId="25" borderId="15" xfId="0" applyFont="1" applyFill="1" applyBorder="1" applyAlignment="1">
      <alignment horizontal="center" vertical="center" textRotation="90" wrapText="1"/>
    </xf>
    <xf numFmtId="2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2" fillId="0" borderId="2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2" fontId="22" fillId="0" borderId="24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9" fontId="23" fillId="0" borderId="14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6"/>
  <sheetViews>
    <sheetView tabSelected="1" zoomScale="75" zoomScaleNormal="75" zoomScaleSheetLayoutView="80" zoomScalePageLayoutView="0" workbookViewId="0" topLeftCell="B7">
      <selection activeCell="C37" sqref="C37"/>
    </sheetView>
  </sheetViews>
  <sheetFormatPr defaultColWidth="9.00390625" defaultRowHeight="12.75"/>
  <cols>
    <col min="1" max="1" width="4.625" style="69" customWidth="1"/>
    <col min="2" max="2" width="41.00390625" style="69" customWidth="1"/>
    <col min="3" max="3" width="27.125" style="69" customWidth="1"/>
    <col min="4" max="4" width="22.375" style="69" customWidth="1"/>
    <col min="5" max="5" width="10.125" style="69" customWidth="1"/>
    <col min="6" max="6" width="9.625" style="69" customWidth="1"/>
    <col min="7" max="7" width="10.25390625" style="70" customWidth="1"/>
    <col min="8" max="9" width="12.25390625" style="69" customWidth="1"/>
    <col min="10" max="10" width="15.125" style="69" customWidth="1"/>
    <col min="11" max="11" width="12.125" style="69" customWidth="1"/>
    <col min="12" max="14" width="11.625" style="70" customWidth="1"/>
    <col min="15" max="15" width="14.375" style="69" customWidth="1"/>
    <col min="16" max="16" width="14.875" style="69" customWidth="1"/>
    <col min="17" max="17" width="11.625" style="69" customWidth="1"/>
    <col min="18" max="18" width="15.875" style="69" customWidth="1"/>
    <col min="19" max="19" width="12.875" style="69" customWidth="1"/>
    <col min="20" max="20" width="11.625" style="69" customWidth="1"/>
    <col min="21" max="21" width="17.375" style="69" customWidth="1"/>
    <col min="22" max="22" width="13.00390625" style="69" customWidth="1"/>
    <col min="23" max="25" width="11.625" style="69" customWidth="1"/>
    <col min="26" max="26" width="11.625" style="70" customWidth="1"/>
    <col min="27" max="27" width="14.375" style="69" customWidth="1"/>
    <col min="28" max="34" width="11.625" style="69" customWidth="1"/>
    <col min="35" max="35" width="14.625" style="69" customWidth="1"/>
    <col min="36" max="36" width="15.125" style="69" customWidth="1"/>
    <col min="37" max="37" width="8.75390625" style="69" hidden="1" customWidth="1"/>
    <col min="38" max="16384" width="9.125" style="69" customWidth="1"/>
  </cols>
  <sheetData>
    <row r="1" ht="22.5" customHeight="1" thickBot="1"/>
    <row r="2" spans="35:37" ht="18">
      <c r="AI2" s="152"/>
      <c r="AJ2" s="152"/>
      <c r="AK2" s="71" t="s">
        <v>3</v>
      </c>
    </row>
    <row r="3" spans="1:37" s="79" customFormat="1" ht="32.25" customHeight="1">
      <c r="A3" s="72"/>
      <c r="B3" s="73" t="s">
        <v>4</v>
      </c>
      <c r="C3" s="72"/>
      <c r="D3" s="72"/>
      <c r="E3" s="72"/>
      <c r="F3" s="72"/>
      <c r="G3" s="74"/>
      <c r="H3" s="72"/>
      <c r="I3" s="72"/>
      <c r="J3" s="72"/>
      <c r="K3" s="72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75"/>
      <c r="AD3" s="154" t="s">
        <v>19</v>
      </c>
      <c r="AE3" s="154"/>
      <c r="AF3" s="154"/>
      <c r="AG3" s="76">
        <v>0</v>
      </c>
      <c r="AH3" s="77" t="s">
        <v>0</v>
      </c>
      <c r="AI3" s="77" t="s">
        <v>1</v>
      </c>
      <c r="AJ3" s="77" t="s">
        <v>2</v>
      </c>
      <c r="AK3" s="78"/>
    </row>
    <row r="4" spans="1:37" s="79" customFormat="1" ht="21" customHeight="1">
      <c r="A4" s="157" t="s">
        <v>73</v>
      </c>
      <c r="B4" s="157"/>
      <c r="C4" s="157"/>
      <c r="G4" s="81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75"/>
      <c r="AD4" s="155" t="s">
        <v>20</v>
      </c>
      <c r="AE4" s="155"/>
      <c r="AF4" s="155"/>
      <c r="AG4" s="76">
        <v>1</v>
      </c>
      <c r="AH4" s="76">
        <v>3</v>
      </c>
      <c r="AI4" s="76">
        <v>5</v>
      </c>
      <c r="AJ4" s="76">
        <v>0</v>
      </c>
      <c r="AK4" s="78"/>
    </row>
    <row r="5" spans="1:37" s="79" customFormat="1" ht="21.75" customHeight="1">
      <c r="A5" s="82"/>
      <c r="B5" s="80"/>
      <c r="C5" s="82"/>
      <c r="D5" s="72"/>
      <c r="E5" s="72"/>
      <c r="F5" s="72"/>
      <c r="G5" s="74"/>
      <c r="H5" s="72"/>
      <c r="I5" s="72"/>
      <c r="J5" s="72"/>
      <c r="K5" s="72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75"/>
      <c r="AD5" s="155" t="s">
        <v>26</v>
      </c>
      <c r="AE5" s="155"/>
      <c r="AF5" s="155"/>
      <c r="AG5" s="76">
        <v>0.5</v>
      </c>
      <c r="AH5" s="76">
        <v>2</v>
      </c>
      <c r="AI5" s="76">
        <v>3</v>
      </c>
      <c r="AJ5" s="76">
        <v>0</v>
      </c>
      <c r="AK5" s="78"/>
    </row>
    <row r="6" spans="1:37" s="79" customFormat="1" ht="19.5" customHeight="1">
      <c r="A6" s="83"/>
      <c r="B6" s="84" t="s">
        <v>58</v>
      </c>
      <c r="G6" s="81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85"/>
      <c r="AD6" s="155" t="s">
        <v>21</v>
      </c>
      <c r="AE6" s="155"/>
      <c r="AF6" s="155"/>
      <c r="AG6" s="76">
        <v>4</v>
      </c>
      <c r="AH6" s="76">
        <v>5</v>
      </c>
      <c r="AI6" s="76">
        <v>9</v>
      </c>
      <c r="AJ6" s="76">
        <v>0</v>
      </c>
      <c r="AK6" s="78"/>
    </row>
    <row r="7" spans="1:37" s="79" customFormat="1" ht="33" customHeight="1">
      <c r="A7" s="82"/>
      <c r="B7" s="86" t="s">
        <v>128</v>
      </c>
      <c r="C7" s="82"/>
      <c r="D7" s="82"/>
      <c r="E7" s="82"/>
      <c r="F7" s="82"/>
      <c r="G7" s="87"/>
      <c r="H7" s="82"/>
      <c r="I7" s="82"/>
      <c r="J7" s="82"/>
      <c r="K7" s="82"/>
      <c r="L7" s="88" t="s">
        <v>36</v>
      </c>
      <c r="M7" s="89"/>
      <c r="N7" s="89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88"/>
      <c r="AB7" s="88"/>
      <c r="AC7" s="88"/>
      <c r="AD7" s="155" t="s">
        <v>22</v>
      </c>
      <c r="AE7" s="155"/>
      <c r="AF7" s="155"/>
      <c r="AG7" s="76">
        <v>20</v>
      </c>
      <c r="AH7" s="76">
        <v>53</v>
      </c>
      <c r="AI7" s="76">
        <v>108</v>
      </c>
      <c r="AJ7" s="76">
        <v>0</v>
      </c>
      <c r="AK7" s="78"/>
    </row>
    <row r="8" spans="1:37" s="79" customFormat="1" ht="16.5" customHeight="1">
      <c r="A8" s="72"/>
      <c r="B8" s="82"/>
      <c r="C8" s="82"/>
      <c r="D8" s="82"/>
      <c r="E8" s="82"/>
      <c r="F8" s="82"/>
      <c r="G8" s="87"/>
      <c r="H8" s="82"/>
      <c r="I8" s="82"/>
      <c r="J8" s="82"/>
      <c r="K8" s="82"/>
      <c r="L8" s="87"/>
      <c r="M8" s="87"/>
      <c r="N8" s="87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7"/>
      <c r="AA8" s="82"/>
      <c r="AB8" s="82"/>
      <c r="AC8" s="82"/>
      <c r="AD8" s="155" t="s">
        <v>23</v>
      </c>
      <c r="AE8" s="155"/>
      <c r="AF8" s="155"/>
      <c r="AG8" s="76">
        <v>2</v>
      </c>
      <c r="AH8" s="76">
        <v>3</v>
      </c>
      <c r="AI8" s="76">
        <v>2</v>
      </c>
      <c r="AJ8" s="76">
        <v>0</v>
      </c>
      <c r="AK8" s="78"/>
    </row>
    <row r="9" spans="1:37" s="79" customFormat="1" ht="20.25" customHeight="1">
      <c r="A9" s="72"/>
      <c r="B9" s="156" t="s">
        <v>148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90"/>
      <c r="AD9" s="155" t="s">
        <v>24</v>
      </c>
      <c r="AE9" s="155"/>
      <c r="AF9" s="155"/>
      <c r="AG9" s="76">
        <v>2</v>
      </c>
      <c r="AH9" s="76">
        <v>2</v>
      </c>
      <c r="AI9" s="76">
        <v>7</v>
      </c>
      <c r="AJ9" s="76">
        <v>0</v>
      </c>
      <c r="AK9" s="78"/>
    </row>
    <row r="10" spans="1:37" s="79" customFormat="1" ht="21" customHeight="1">
      <c r="A10" s="72"/>
      <c r="B10" s="82"/>
      <c r="C10" s="82"/>
      <c r="D10" s="82"/>
      <c r="E10" s="82"/>
      <c r="F10" s="82"/>
      <c r="G10" s="87"/>
      <c r="H10" s="82"/>
      <c r="I10" s="82"/>
      <c r="J10" s="82"/>
      <c r="K10" s="82"/>
      <c r="L10" s="135" t="s">
        <v>129</v>
      </c>
      <c r="M10" s="136"/>
      <c r="N10" s="136"/>
      <c r="O10" s="137"/>
      <c r="P10" s="87"/>
      <c r="Q10" s="87"/>
      <c r="R10" s="87"/>
      <c r="Z10" s="81"/>
      <c r="AH10" s="76">
        <f>AH9+AH8</f>
        <v>5</v>
      </c>
      <c r="AI10" s="76">
        <f>AI9+AI8</f>
        <v>9</v>
      </c>
      <c r="AJ10" s="76">
        <v>0</v>
      </c>
      <c r="AK10" s="78"/>
    </row>
    <row r="11" spans="1:37" s="79" customFormat="1" ht="17.25" customHeight="1">
      <c r="A11" s="72"/>
      <c r="B11" s="82"/>
      <c r="C11" s="82"/>
      <c r="D11" s="82"/>
      <c r="E11" s="82"/>
      <c r="F11" s="82"/>
      <c r="G11" s="87"/>
      <c r="H11" s="82"/>
      <c r="I11" s="82"/>
      <c r="J11" s="82"/>
      <c r="K11" s="82"/>
      <c r="L11" s="138" t="s">
        <v>130</v>
      </c>
      <c r="M11" s="139"/>
      <c r="N11" s="139"/>
      <c r="O11" s="135"/>
      <c r="P11" s="89"/>
      <c r="Q11" s="89"/>
      <c r="R11" s="89"/>
      <c r="S11" s="88"/>
      <c r="T11" s="88"/>
      <c r="U11" s="88"/>
      <c r="V11" s="88"/>
      <c r="W11" s="88"/>
      <c r="X11" s="88"/>
      <c r="Y11" s="88"/>
      <c r="Z11" s="89"/>
      <c r="AA11" s="88"/>
      <c r="AB11" s="88"/>
      <c r="AC11" s="88"/>
      <c r="AD11" s="88"/>
      <c r="AE11" s="88"/>
      <c r="AF11" s="88"/>
      <c r="AG11" s="88"/>
      <c r="AH11" s="91"/>
      <c r="AI11" s="91"/>
      <c r="AJ11" s="91"/>
      <c r="AK11" s="78"/>
    </row>
    <row r="12" spans="1:37" s="79" customFormat="1" ht="20.25" customHeight="1">
      <c r="A12" s="72"/>
      <c r="B12" s="82"/>
      <c r="C12" s="82"/>
      <c r="D12" s="82"/>
      <c r="E12" s="82"/>
      <c r="F12" s="82"/>
      <c r="G12" s="87"/>
      <c r="H12" s="82"/>
      <c r="I12" s="82"/>
      <c r="J12" s="82"/>
      <c r="K12" s="82"/>
      <c r="L12" s="140" t="s">
        <v>74</v>
      </c>
      <c r="M12" s="140"/>
      <c r="N12" s="140"/>
      <c r="O12" s="140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3"/>
      <c r="AA12" s="92"/>
      <c r="AB12" s="92"/>
      <c r="AC12" s="92"/>
      <c r="AD12" s="92"/>
      <c r="AE12" s="92"/>
      <c r="AF12" s="92"/>
      <c r="AG12" s="92"/>
      <c r="AH12" s="91"/>
      <c r="AI12" s="91"/>
      <c r="AJ12" s="91"/>
      <c r="AK12" s="78"/>
    </row>
    <row r="13" spans="1:37" s="79" customFormat="1" ht="23.25" customHeight="1">
      <c r="A13" s="78"/>
      <c r="B13" s="78"/>
      <c r="C13" s="78"/>
      <c r="D13" s="78"/>
      <c r="E13" s="78"/>
      <c r="F13" s="78"/>
      <c r="G13" s="94"/>
      <c r="H13" s="78"/>
      <c r="I13" s="78"/>
      <c r="J13" s="78"/>
      <c r="K13" s="78"/>
      <c r="L13" s="141"/>
      <c r="M13" s="141"/>
      <c r="N13" s="141"/>
      <c r="O13" s="142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94"/>
      <c r="AA13" s="78"/>
      <c r="AB13" s="78"/>
      <c r="AC13" s="78"/>
      <c r="AD13" s="78"/>
      <c r="AE13" s="78"/>
      <c r="AF13" s="78"/>
      <c r="AG13" s="78"/>
      <c r="AH13" s="161"/>
      <c r="AI13" s="161"/>
      <c r="AJ13" s="161"/>
      <c r="AK13" s="162"/>
    </row>
    <row r="14" spans="1:37" s="79" customFormat="1" ht="18" customHeight="1">
      <c r="A14" s="151" t="s">
        <v>8</v>
      </c>
      <c r="B14" s="151" t="s">
        <v>9</v>
      </c>
      <c r="C14" s="170" t="s">
        <v>37</v>
      </c>
      <c r="D14" s="170" t="s">
        <v>38</v>
      </c>
      <c r="E14" s="158" t="s">
        <v>10</v>
      </c>
      <c r="F14" s="158" t="s">
        <v>11</v>
      </c>
      <c r="G14" s="158" t="s">
        <v>33</v>
      </c>
      <c r="H14" s="143" t="s">
        <v>17</v>
      </c>
      <c r="I14" s="148">
        <v>0.25</v>
      </c>
      <c r="J14" s="143" t="s">
        <v>117</v>
      </c>
      <c r="K14" s="143" t="s">
        <v>118</v>
      </c>
      <c r="L14" s="145" t="s">
        <v>12</v>
      </c>
      <c r="M14" s="146"/>
      <c r="N14" s="147"/>
      <c r="O14" s="180" t="s">
        <v>35</v>
      </c>
      <c r="P14" s="181"/>
      <c r="Q14" s="182"/>
      <c r="R14" s="183" t="s">
        <v>105</v>
      </c>
      <c r="S14" s="185">
        <v>0.1</v>
      </c>
      <c r="T14" s="165" t="s">
        <v>119</v>
      </c>
      <c r="U14" s="165"/>
      <c r="V14" s="166" t="s">
        <v>120</v>
      </c>
      <c r="W14" s="168" t="s">
        <v>121</v>
      </c>
      <c r="X14" s="151" t="s">
        <v>13</v>
      </c>
      <c r="Y14" s="151"/>
      <c r="Z14" s="151"/>
      <c r="AA14" s="151"/>
      <c r="AB14" s="151"/>
      <c r="AC14" s="178"/>
      <c r="AD14" s="178"/>
      <c r="AE14" s="178"/>
      <c r="AF14" s="178"/>
      <c r="AG14" s="178"/>
      <c r="AH14" s="179"/>
      <c r="AI14" s="151" t="s">
        <v>34</v>
      </c>
      <c r="AJ14" s="173"/>
      <c r="AK14" s="163"/>
    </row>
    <row r="15" spans="1:37" s="79" customFormat="1" ht="96" customHeight="1">
      <c r="A15" s="151"/>
      <c r="B15" s="151"/>
      <c r="C15" s="170"/>
      <c r="D15" s="170"/>
      <c r="E15" s="159"/>
      <c r="F15" s="159"/>
      <c r="G15" s="159"/>
      <c r="H15" s="144"/>
      <c r="I15" s="149"/>
      <c r="J15" s="144"/>
      <c r="K15" s="144"/>
      <c r="L15" s="96" t="s">
        <v>27</v>
      </c>
      <c r="M15" s="96" t="s">
        <v>28</v>
      </c>
      <c r="N15" s="96" t="s">
        <v>29</v>
      </c>
      <c r="O15" s="97" t="s">
        <v>27</v>
      </c>
      <c r="P15" s="97" t="s">
        <v>28</v>
      </c>
      <c r="Q15" s="97" t="s">
        <v>29</v>
      </c>
      <c r="R15" s="184"/>
      <c r="S15" s="186"/>
      <c r="T15" s="98" t="s">
        <v>122</v>
      </c>
      <c r="U15" s="99" t="s">
        <v>123</v>
      </c>
      <c r="V15" s="167"/>
      <c r="W15" s="169"/>
      <c r="X15" s="97" t="s">
        <v>30</v>
      </c>
      <c r="Y15" s="100" t="s">
        <v>142</v>
      </c>
      <c r="Z15" s="101" t="s">
        <v>143</v>
      </c>
      <c r="AA15" s="102">
        <v>0.4</v>
      </c>
      <c r="AB15" s="102">
        <v>0.5</v>
      </c>
      <c r="AC15" s="176" t="s">
        <v>144</v>
      </c>
      <c r="AD15" s="177"/>
      <c r="AE15" s="95" t="s">
        <v>145</v>
      </c>
      <c r="AF15" s="95" t="s">
        <v>39</v>
      </c>
      <c r="AG15" s="95" t="s">
        <v>146</v>
      </c>
      <c r="AH15" s="103" t="s">
        <v>32</v>
      </c>
      <c r="AI15" s="151"/>
      <c r="AJ15" s="173"/>
      <c r="AK15" s="164"/>
    </row>
    <row r="16" spans="1:37" s="81" customFormat="1" ht="39" customHeight="1">
      <c r="A16" s="104">
        <v>1</v>
      </c>
      <c r="B16" s="105" t="s">
        <v>65</v>
      </c>
      <c r="C16" s="106" t="s">
        <v>71</v>
      </c>
      <c r="D16" s="106" t="s">
        <v>112</v>
      </c>
      <c r="E16" s="104" t="s">
        <v>60</v>
      </c>
      <c r="F16" s="105">
        <v>5.2</v>
      </c>
      <c r="G16" s="107">
        <v>36</v>
      </c>
      <c r="H16" s="108">
        <f>17697*F16</f>
        <v>92024.40000000001</v>
      </c>
      <c r="I16" s="108">
        <f>H16*0.25</f>
        <v>23006.100000000002</v>
      </c>
      <c r="J16" s="108">
        <f>(H16+I16)*0.25</f>
        <v>28757.625000000004</v>
      </c>
      <c r="K16" s="109">
        <f>(H16+I16)*1.25</f>
        <v>143788.12500000003</v>
      </c>
      <c r="L16" s="110">
        <v>9</v>
      </c>
      <c r="M16" s="110"/>
      <c r="N16" s="110"/>
      <c r="O16" s="110">
        <f>L16/18*K16</f>
        <v>71894.06250000001</v>
      </c>
      <c r="P16" s="110">
        <f>M16/18*K16</f>
        <v>0</v>
      </c>
      <c r="Q16" s="110">
        <f>N16/18*K16</f>
        <v>0</v>
      </c>
      <c r="R16" s="110">
        <f>O16+P16</f>
        <v>71894.06250000001</v>
      </c>
      <c r="S16" s="110">
        <f>R16*0.1</f>
        <v>7189.406250000002</v>
      </c>
      <c r="T16" s="108">
        <f>L16+M16</f>
        <v>9</v>
      </c>
      <c r="U16" s="111">
        <f>K16/18*0.3*T16</f>
        <v>21568.218750000004</v>
      </c>
      <c r="V16" s="112">
        <f>K16*0.35/18*(L16+M16+N16)</f>
        <v>25162.921875000007</v>
      </c>
      <c r="W16" s="110"/>
      <c r="X16" s="110">
        <v>4</v>
      </c>
      <c r="Y16" s="110"/>
      <c r="Z16" s="110">
        <f>X16+Y16</f>
        <v>4</v>
      </c>
      <c r="AA16" s="110">
        <f>SUM(17697/18*0.2*Z16)</f>
        <v>786.5333333333333</v>
      </c>
      <c r="AB16" s="110"/>
      <c r="AC16" s="110"/>
      <c r="AD16" s="110"/>
      <c r="AE16" s="110"/>
      <c r="AF16" s="110"/>
      <c r="AG16" s="110"/>
      <c r="AH16" s="113">
        <f>17697*0.125</f>
        <v>2212.125</v>
      </c>
      <c r="AI16" s="110">
        <f>R16+S16+U16+V16+AA16+AB16+AC16+AD16+AH16</f>
        <v>128813.26770833337</v>
      </c>
      <c r="AJ16" s="114"/>
      <c r="AK16" s="115"/>
    </row>
    <row r="17" spans="1:37" s="81" customFormat="1" ht="39" customHeight="1">
      <c r="A17" s="171">
        <v>2</v>
      </c>
      <c r="B17" s="174" t="s">
        <v>43</v>
      </c>
      <c r="C17" s="106" t="s">
        <v>66</v>
      </c>
      <c r="D17" s="106" t="s">
        <v>131</v>
      </c>
      <c r="E17" s="104" t="s">
        <v>63</v>
      </c>
      <c r="F17" s="105">
        <v>4.73</v>
      </c>
      <c r="G17" s="107">
        <v>31</v>
      </c>
      <c r="H17" s="108">
        <f aca="true" t="shared" si="0" ref="H17:H33">17697*F17</f>
        <v>83706.81000000001</v>
      </c>
      <c r="I17" s="108">
        <f aca="true" t="shared" si="1" ref="I17:I33">H17*0.25</f>
        <v>20926.702500000003</v>
      </c>
      <c r="J17" s="108">
        <f>(H17+I17)*0.25</f>
        <v>26158.378125000003</v>
      </c>
      <c r="K17" s="109">
        <f aca="true" t="shared" si="2" ref="K17:K33">(H17+I17)*1.25</f>
        <v>130791.89062500001</v>
      </c>
      <c r="L17" s="110"/>
      <c r="M17" s="110">
        <v>7</v>
      </c>
      <c r="N17" s="110"/>
      <c r="O17" s="110">
        <f aca="true" t="shared" si="3" ref="O17:O33">L17/18*K17</f>
        <v>0</v>
      </c>
      <c r="P17" s="110">
        <f aca="true" t="shared" si="4" ref="P17:P33">M17/18*K17</f>
        <v>50863.51302083334</v>
      </c>
      <c r="Q17" s="110">
        <f aca="true" t="shared" si="5" ref="Q17:Q33">N17/18*K17</f>
        <v>0</v>
      </c>
      <c r="R17" s="110">
        <f aca="true" t="shared" si="6" ref="R17:R33">O17+P17</f>
        <v>50863.51302083334</v>
      </c>
      <c r="S17" s="110">
        <f aca="true" t="shared" si="7" ref="S17:S33">R17*0.1</f>
        <v>5086.351302083334</v>
      </c>
      <c r="T17" s="108">
        <f aca="true" t="shared" si="8" ref="T17:T33">L17+M17</f>
        <v>7</v>
      </c>
      <c r="U17" s="111">
        <f aca="true" t="shared" si="9" ref="U17:U33">K17/18*0.3*T17</f>
        <v>15259.053906250001</v>
      </c>
      <c r="V17" s="106"/>
      <c r="W17" s="110"/>
      <c r="X17" s="110"/>
      <c r="Y17" s="110">
        <v>4</v>
      </c>
      <c r="Z17" s="110">
        <f aca="true" t="shared" si="10" ref="Z17:Z33">X17+Y17</f>
        <v>4</v>
      </c>
      <c r="AA17" s="110">
        <f>SUM(17697/18*0.2*Z17)</f>
        <v>786.5333333333333</v>
      </c>
      <c r="AB17" s="110"/>
      <c r="AC17" s="110"/>
      <c r="AD17" s="110">
        <f>17697*0.3</f>
        <v>5309.099999999999</v>
      </c>
      <c r="AE17" s="110"/>
      <c r="AF17" s="110"/>
      <c r="AG17" s="110"/>
      <c r="AH17" s="113"/>
      <c r="AI17" s="110">
        <f aca="true" t="shared" si="11" ref="AI17:AI33">R17+S17+U17+V17+AA17+AB17+AC17+AD17+AH17</f>
        <v>77304.55156250003</v>
      </c>
      <c r="AJ17" s="114"/>
      <c r="AK17" s="115"/>
    </row>
    <row r="18" spans="1:37" s="81" customFormat="1" ht="39" customHeight="1">
      <c r="A18" s="172"/>
      <c r="B18" s="175"/>
      <c r="C18" s="106" t="s">
        <v>57</v>
      </c>
      <c r="D18" s="106" t="s">
        <v>113</v>
      </c>
      <c r="E18" s="104" t="s">
        <v>61</v>
      </c>
      <c r="F18" s="105">
        <v>5.16</v>
      </c>
      <c r="G18" s="107">
        <v>31</v>
      </c>
      <c r="H18" s="108">
        <f t="shared" si="0"/>
        <v>91316.52</v>
      </c>
      <c r="I18" s="108">
        <f t="shared" si="1"/>
        <v>22829.13</v>
      </c>
      <c r="J18" s="108">
        <f aca="true" t="shared" si="12" ref="J18:J33">(H18+I18)*0.25</f>
        <v>28536.412500000002</v>
      </c>
      <c r="K18" s="109">
        <f t="shared" si="2"/>
        <v>142682.0625</v>
      </c>
      <c r="L18" s="110">
        <v>15</v>
      </c>
      <c r="M18" s="110"/>
      <c r="N18" s="110"/>
      <c r="O18" s="110">
        <f t="shared" si="3"/>
        <v>118901.71875</v>
      </c>
      <c r="P18" s="110">
        <f t="shared" si="4"/>
        <v>0</v>
      </c>
      <c r="Q18" s="110">
        <f t="shared" si="5"/>
        <v>0</v>
      </c>
      <c r="R18" s="110">
        <f t="shared" si="6"/>
        <v>118901.71875</v>
      </c>
      <c r="S18" s="110">
        <f t="shared" si="7"/>
        <v>11890.171875</v>
      </c>
      <c r="T18" s="108">
        <f t="shared" si="8"/>
        <v>15</v>
      </c>
      <c r="U18" s="111">
        <f t="shared" si="9"/>
        <v>35670.51562499999</v>
      </c>
      <c r="V18" s="112">
        <f>K18*0.3/18*(L18+M18+N18)</f>
        <v>35670.515625</v>
      </c>
      <c r="W18" s="110"/>
      <c r="X18" s="110">
        <v>10</v>
      </c>
      <c r="Y18" s="110"/>
      <c r="Z18" s="110">
        <f t="shared" si="10"/>
        <v>10</v>
      </c>
      <c r="AA18" s="110">
        <f>SUM(17697/18*0.2*Z18)</f>
        <v>1966.3333333333333</v>
      </c>
      <c r="AB18" s="110"/>
      <c r="AC18" s="110">
        <f>17697*0.25</f>
        <v>4424.25</v>
      </c>
      <c r="AD18" s="110"/>
      <c r="AE18" s="110"/>
      <c r="AF18" s="110"/>
      <c r="AG18" s="110"/>
      <c r="AH18" s="113"/>
      <c r="AI18" s="110">
        <f t="shared" si="11"/>
        <v>208523.50520833334</v>
      </c>
      <c r="AJ18" s="114"/>
      <c r="AK18" s="115"/>
    </row>
    <row r="19" spans="1:37" s="81" customFormat="1" ht="53.25" customHeight="1">
      <c r="A19" s="116">
        <v>3</v>
      </c>
      <c r="B19" s="105" t="s">
        <v>67</v>
      </c>
      <c r="C19" s="106" t="s">
        <v>127</v>
      </c>
      <c r="D19" s="117" t="s">
        <v>53</v>
      </c>
      <c r="E19" s="104" t="s">
        <v>61</v>
      </c>
      <c r="F19" s="105">
        <v>5.08</v>
      </c>
      <c r="G19" s="107">
        <v>21</v>
      </c>
      <c r="H19" s="108">
        <f t="shared" si="0"/>
        <v>89900.76</v>
      </c>
      <c r="I19" s="108">
        <f t="shared" si="1"/>
        <v>22475.19</v>
      </c>
      <c r="J19" s="108">
        <f t="shared" si="12"/>
        <v>28093.9875</v>
      </c>
      <c r="K19" s="109">
        <f t="shared" si="2"/>
        <v>140469.9375</v>
      </c>
      <c r="L19" s="110">
        <v>17</v>
      </c>
      <c r="M19" s="110"/>
      <c r="N19" s="110"/>
      <c r="O19" s="110">
        <f t="shared" si="3"/>
        <v>132666.05208333334</v>
      </c>
      <c r="P19" s="110">
        <f t="shared" si="4"/>
        <v>0</v>
      </c>
      <c r="Q19" s="110">
        <f t="shared" si="5"/>
        <v>0</v>
      </c>
      <c r="R19" s="110">
        <f t="shared" si="6"/>
        <v>132666.05208333334</v>
      </c>
      <c r="S19" s="110">
        <f t="shared" si="7"/>
        <v>13266.605208333334</v>
      </c>
      <c r="T19" s="108">
        <f t="shared" si="8"/>
        <v>17</v>
      </c>
      <c r="U19" s="111">
        <f t="shared" si="9"/>
        <v>39799.815625</v>
      </c>
      <c r="V19" s="105"/>
      <c r="W19" s="110"/>
      <c r="X19" s="110">
        <v>12</v>
      </c>
      <c r="Y19" s="110"/>
      <c r="Z19" s="110">
        <f t="shared" si="10"/>
        <v>12</v>
      </c>
      <c r="AA19" s="110">
        <f>SUM(17697/18*0.2*Z19)</f>
        <v>2359.6</v>
      </c>
      <c r="AB19" s="110"/>
      <c r="AC19" s="110">
        <f>17697*0.25</f>
        <v>4424.25</v>
      </c>
      <c r="AD19" s="110"/>
      <c r="AE19" s="110"/>
      <c r="AF19" s="110"/>
      <c r="AG19" s="110"/>
      <c r="AH19" s="113">
        <v>5309</v>
      </c>
      <c r="AI19" s="110">
        <f t="shared" si="11"/>
        <v>197825.32291666666</v>
      </c>
      <c r="AJ19" s="114"/>
      <c r="AK19" s="115"/>
    </row>
    <row r="20" spans="1:37" s="81" customFormat="1" ht="39" customHeight="1">
      <c r="A20" s="116">
        <v>4</v>
      </c>
      <c r="B20" s="105" t="s">
        <v>108</v>
      </c>
      <c r="C20" s="106" t="s">
        <v>132</v>
      </c>
      <c r="D20" s="106" t="s">
        <v>109</v>
      </c>
      <c r="E20" s="104" t="s">
        <v>63</v>
      </c>
      <c r="F20" s="105">
        <v>4.14</v>
      </c>
      <c r="G20" s="107">
        <v>1</v>
      </c>
      <c r="H20" s="108">
        <f t="shared" si="0"/>
        <v>73265.57999999999</v>
      </c>
      <c r="I20" s="108">
        <f t="shared" si="1"/>
        <v>18316.394999999997</v>
      </c>
      <c r="J20" s="108">
        <f t="shared" si="12"/>
        <v>22895.493749999994</v>
      </c>
      <c r="K20" s="109">
        <f t="shared" si="2"/>
        <v>114477.46874999997</v>
      </c>
      <c r="L20" s="110"/>
      <c r="M20" s="110">
        <v>26</v>
      </c>
      <c r="N20" s="110"/>
      <c r="O20" s="110">
        <f t="shared" si="3"/>
        <v>0</v>
      </c>
      <c r="P20" s="110">
        <f t="shared" si="4"/>
        <v>165356.34374999994</v>
      </c>
      <c r="Q20" s="110">
        <f t="shared" si="5"/>
        <v>0</v>
      </c>
      <c r="R20" s="110">
        <f t="shared" si="6"/>
        <v>165356.34374999994</v>
      </c>
      <c r="S20" s="110">
        <f t="shared" si="7"/>
        <v>16535.634374999994</v>
      </c>
      <c r="T20" s="108">
        <f t="shared" si="8"/>
        <v>26</v>
      </c>
      <c r="U20" s="111">
        <f t="shared" si="9"/>
        <v>49606.90312499998</v>
      </c>
      <c r="V20" s="106"/>
      <c r="W20" s="110"/>
      <c r="X20" s="110"/>
      <c r="Y20" s="110">
        <v>25</v>
      </c>
      <c r="Z20" s="110">
        <f t="shared" si="10"/>
        <v>25</v>
      </c>
      <c r="AA20" s="110">
        <v>1966</v>
      </c>
      <c r="AB20" s="110">
        <v>3687</v>
      </c>
      <c r="AC20" s="110"/>
      <c r="AD20" s="110">
        <f>17697*0.3</f>
        <v>5309.099999999999</v>
      </c>
      <c r="AE20" s="110"/>
      <c r="AF20" s="110"/>
      <c r="AG20" s="110"/>
      <c r="AH20" s="113"/>
      <c r="AI20" s="110">
        <f t="shared" si="11"/>
        <v>242460.98124999992</v>
      </c>
      <c r="AJ20" s="114"/>
      <c r="AK20" s="115"/>
    </row>
    <row r="21" spans="1:37" s="81" customFormat="1" ht="39" customHeight="1">
      <c r="A21" s="171">
        <v>5</v>
      </c>
      <c r="B21" s="174" t="s">
        <v>45</v>
      </c>
      <c r="C21" s="106" t="s">
        <v>110</v>
      </c>
      <c r="D21" s="106" t="s">
        <v>114</v>
      </c>
      <c r="E21" s="104" t="s">
        <v>61</v>
      </c>
      <c r="F21" s="105">
        <v>4.66</v>
      </c>
      <c r="G21" s="107">
        <v>5</v>
      </c>
      <c r="H21" s="108">
        <f t="shared" si="0"/>
        <v>82468.02</v>
      </c>
      <c r="I21" s="108">
        <f t="shared" si="1"/>
        <v>20617.005</v>
      </c>
      <c r="J21" s="108">
        <f t="shared" si="12"/>
        <v>25771.256250000002</v>
      </c>
      <c r="K21" s="109">
        <f t="shared" si="2"/>
        <v>128856.28125000001</v>
      </c>
      <c r="L21" s="110"/>
      <c r="M21" s="110">
        <v>11</v>
      </c>
      <c r="N21" s="110"/>
      <c r="O21" s="110">
        <f t="shared" si="3"/>
        <v>0</v>
      </c>
      <c r="P21" s="110">
        <f t="shared" si="4"/>
        <v>78745.50520833334</v>
      </c>
      <c r="Q21" s="110">
        <f t="shared" si="5"/>
        <v>0</v>
      </c>
      <c r="R21" s="110">
        <f t="shared" si="6"/>
        <v>78745.50520833334</v>
      </c>
      <c r="S21" s="110">
        <f t="shared" si="7"/>
        <v>7874.550520833334</v>
      </c>
      <c r="T21" s="108">
        <f t="shared" si="8"/>
        <v>11</v>
      </c>
      <c r="U21" s="111">
        <f t="shared" si="9"/>
        <v>23623.651562500003</v>
      </c>
      <c r="V21" s="112">
        <f>K21*0.3/18*(L21+M21+N21)</f>
        <v>23623.651562500003</v>
      </c>
      <c r="W21" s="110"/>
      <c r="X21" s="110"/>
      <c r="Y21" s="110"/>
      <c r="Z21" s="110">
        <f t="shared" si="10"/>
        <v>0</v>
      </c>
      <c r="AA21" s="110"/>
      <c r="AB21" s="110"/>
      <c r="AC21" s="110"/>
      <c r="AD21" s="110">
        <f>17697*0.3</f>
        <v>5309.099999999999</v>
      </c>
      <c r="AE21" s="110"/>
      <c r="AF21" s="110"/>
      <c r="AG21" s="110"/>
      <c r="AH21" s="113"/>
      <c r="AI21" s="110">
        <f t="shared" si="11"/>
        <v>139176.4588541667</v>
      </c>
      <c r="AJ21" s="114"/>
      <c r="AK21" s="115"/>
    </row>
    <row r="22" spans="1:37" s="81" customFormat="1" ht="39" customHeight="1">
      <c r="A22" s="172"/>
      <c r="B22" s="175"/>
      <c r="C22" s="106" t="s">
        <v>134</v>
      </c>
      <c r="D22" s="106" t="s">
        <v>109</v>
      </c>
      <c r="E22" s="104" t="s">
        <v>63</v>
      </c>
      <c r="F22" s="105">
        <v>4.27</v>
      </c>
      <c r="G22" s="107">
        <v>5</v>
      </c>
      <c r="H22" s="108">
        <f t="shared" si="0"/>
        <v>75566.18999999999</v>
      </c>
      <c r="I22" s="108">
        <f t="shared" si="1"/>
        <v>18891.547499999997</v>
      </c>
      <c r="J22" s="108">
        <f t="shared" si="12"/>
        <v>23614.434374999997</v>
      </c>
      <c r="K22" s="109">
        <f t="shared" si="2"/>
        <v>118072.17187499999</v>
      </c>
      <c r="L22" s="110">
        <v>1</v>
      </c>
      <c r="M22" s="110">
        <v>11</v>
      </c>
      <c r="N22" s="110"/>
      <c r="O22" s="110">
        <f t="shared" si="3"/>
        <v>6559.565104166665</v>
      </c>
      <c r="P22" s="110">
        <f t="shared" si="4"/>
        <v>72155.21614583333</v>
      </c>
      <c r="Q22" s="110">
        <f t="shared" si="5"/>
        <v>0</v>
      </c>
      <c r="R22" s="110">
        <f t="shared" si="6"/>
        <v>78714.78125</v>
      </c>
      <c r="S22" s="110">
        <f t="shared" si="7"/>
        <v>7871.478125000001</v>
      </c>
      <c r="T22" s="108">
        <f t="shared" si="8"/>
        <v>12</v>
      </c>
      <c r="U22" s="111">
        <f t="shared" si="9"/>
        <v>23614.434374999997</v>
      </c>
      <c r="V22" s="106"/>
      <c r="W22" s="110"/>
      <c r="X22" s="110"/>
      <c r="Y22" s="110">
        <v>6</v>
      </c>
      <c r="Z22" s="110">
        <f t="shared" si="10"/>
        <v>6</v>
      </c>
      <c r="AA22" s="110">
        <f>SUM(17697/18*0.2*Z22)</f>
        <v>1179.8</v>
      </c>
      <c r="AB22" s="110"/>
      <c r="AC22" s="110"/>
      <c r="AD22" s="110"/>
      <c r="AE22" s="110"/>
      <c r="AF22" s="110"/>
      <c r="AG22" s="110"/>
      <c r="AH22" s="113"/>
      <c r="AI22" s="110">
        <f t="shared" si="11"/>
        <v>111380.49375</v>
      </c>
      <c r="AJ22" s="114"/>
      <c r="AK22" s="115"/>
    </row>
    <row r="23" spans="1:37" s="81" customFormat="1" ht="39" customHeight="1">
      <c r="A23" s="116">
        <v>6</v>
      </c>
      <c r="B23" s="105" t="s">
        <v>82</v>
      </c>
      <c r="C23" s="106" t="s">
        <v>150</v>
      </c>
      <c r="D23" s="106" t="s">
        <v>56</v>
      </c>
      <c r="E23" s="104" t="s">
        <v>60</v>
      </c>
      <c r="F23" s="105">
        <v>5.2</v>
      </c>
      <c r="G23" s="107">
        <v>40</v>
      </c>
      <c r="H23" s="108">
        <f t="shared" si="0"/>
        <v>92024.40000000001</v>
      </c>
      <c r="I23" s="108">
        <f t="shared" si="1"/>
        <v>23006.100000000002</v>
      </c>
      <c r="J23" s="108">
        <f t="shared" si="12"/>
        <v>28757.625000000004</v>
      </c>
      <c r="K23" s="109">
        <f t="shared" si="2"/>
        <v>143788.12500000003</v>
      </c>
      <c r="L23" s="110"/>
      <c r="M23" s="110">
        <v>8</v>
      </c>
      <c r="N23" s="110"/>
      <c r="O23" s="110">
        <f t="shared" si="3"/>
        <v>0</v>
      </c>
      <c r="P23" s="110">
        <f t="shared" si="4"/>
        <v>63905.83333333334</v>
      </c>
      <c r="Q23" s="110">
        <f t="shared" si="5"/>
        <v>0</v>
      </c>
      <c r="R23" s="110">
        <f t="shared" si="6"/>
        <v>63905.83333333334</v>
      </c>
      <c r="S23" s="110">
        <f t="shared" si="7"/>
        <v>6390.583333333335</v>
      </c>
      <c r="T23" s="108">
        <f t="shared" si="8"/>
        <v>8</v>
      </c>
      <c r="U23" s="111">
        <f t="shared" si="9"/>
        <v>19171.750000000004</v>
      </c>
      <c r="V23" s="106"/>
      <c r="W23" s="110"/>
      <c r="X23" s="110"/>
      <c r="Y23" s="110">
        <v>4</v>
      </c>
      <c r="Z23" s="110">
        <f t="shared" si="10"/>
        <v>4</v>
      </c>
      <c r="AA23" s="110">
        <f>SUM(17697/18*0.2*Z23)</f>
        <v>786.5333333333333</v>
      </c>
      <c r="AB23" s="110"/>
      <c r="AC23" s="110"/>
      <c r="AD23" s="110"/>
      <c r="AE23" s="110"/>
      <c r="AF23" s="110"/>
      <c r="AG23" s="110"/>
      <c r="AH23" s="113"/>
      <c r="AI23" s="110">
        <f t="shared" si="11"/>
        <v>90254.70000000001</v>
      </c>
      <c r="AJ23" s="114"/>
      <c r="AK23" s="115"/>
    </row>
    <row r="24" spans="1:37" s="81" customFormat="1" ht="39" customHeight="1">
      <c r="A24" s="116">
        <v>7</v>
      </c>
      <c r="B24" s="105" t="s">
        <v>46</v>
      </c>
      <c r="C24" s="106" t="s">
        <v>69</v>
      </c>
      <c r="D24" s="106" t="s">
        <v>68</v>
      </c>
      <c r="E24" s="104" t="s">
        <v>63</v>
      </c>
      <c r="F24" s="105">
        <v>4.27</v>
      </c>
      <c r="G24" s="107">
        <v>5</v>
      </c>
      <c r="H24" s="108">
        <f t="shared" si="0"/>
        <v>75566.18999999999</v>
      </c>
      <c r="I24" s="108">
        <f t="shared" si="1"/>
        <v>18891.547499999997</v>
      </c>
      <c r="J24" s="108">
        <f t="shared" si="12"/>
        <v>23614.434374999997</v>
      </c>
      <c r="K24" s="109">
        <f t="shared" si="2"/>
        <v>118072.17187499999</v>
      </c>
      <c r="L24" s="110">
        <v>6</v>
      </c>
      <c r="M24" s="110">
        <v>11</v>
      </c>
      <c r="N24" s="110"/>
      <c r="O24" s="110">
        <f t="shared" si="3"/>
        <v>39357.39062499999</v>
      </c>
      <c r="P24" s="110">
        <f t="shared" si="4"/>
        <v>72155.21614583333</v>
      </c>
      <c r="Q24" s="110">
        <f t="shared" si="5"/>
        <v>0</v>
      </c>
      <c r="R24" s="110">
        <f t="shared" si="6"/>
        <v>111512.60677083331</v>
      </c>
      <c r="S24" s="110">
        <f t="shared" si="7"/>
        <v>11151.260677083332</v>
      </c>
      <c r="T24" s="108">
        <f t="shared" si="8"/>
        <v>17</v>
      </c>
      <c r="U24" s="111">
        <f t="shared" si="9"/>
        <v>33453.78203125</v>
      </c>
      <c r="V24" s="106"/>
      <c r="W24" s="110"/>
      <c r="X24" s="110"/>
      <c r="Y24" s="110"/>
      <c r="Z24" s="110">
        <f t="shared" si="10"/>
        <v>0</v>
      </c>
      <c r="AA24" s="110"/>
      <c r="AB24" s="110"/>
      <c r="AC24" s="110"/>
      <c r="AD24" s="110"/>
      <c r="AE24" s="110"/>
      <c r="AF24" s="110"/>
      <c r="AG24" s="110"/>
      <c r="AH24" s="113"/>
      <c r="AI24" s="110">
        <f t="shared" si="11"/>
        <v>156117.64947916666</v>
      </c>
      <c r="AJ24" s="114"/>
      <c r="AK24" s="115"/>
    </row>
    <row r="25" spans="1:37" s="81" customFormat="1" ht="39" customHeight="1">
      <c r="A25" s="116">
        <v>8</v>
      </c>
      <c r="B25" s="105" t="s">
        <v>115</v>
      </c>
      <c r="C25" s="106" t="s">
        <v>103</v>
      </c>
      <c r="D25" s="106" t="s">
        <v>75</v>
      </c>
      <c r="E25" s="104" t="s">
        <v>62</v>
      </c>
      <c r="F25" s="105">
        <v>4.22</v>
      </c>
      <c r="G25" s="107">
        <v>21</v>
      </c>
      <c r="H25" s="108">
        <f t="shared" si="0"/>
        <v>74681.34</v>
      </c>
      <c r="I25" s="108">
        <f t="shared" si="1"/>
        <v>18670.335</v>
      </c>
      <c r="J25" s="108">
        <f t="shared" si="12"/>
        <v>23337.918749999997</v>
      </c>
      <c r="K25" s="109">
        <f t="shared" si="2"/>
        <v>116689.59374999999</v>
      </c>
      <c r="L25" s="110">
        <v>20</v>
      </c>
      <c r="M25" s="110"/>
      <c r="N25" s="110"/>
      <c r="O25" s="110">
        <f>L25/20*K25/2</f>
        <v>58344.79687499999</v>
      </c>
      <c r="P25" s="110">
        <f t="shared" si="4"/>
        <v>0</v>
      </c>
      <c r="Q25" s="110">
        <f t="shared" si="5"/>
        <v>0</v>
      </c>
      <c r="R25" s="110">
        <f t="shared" si="6"/>
        <v>58344.79687499999</v>
      </c>
      <c r="S25" s="110">
        <f t="shared" si="7"/>
        <v>5834.479687499999</v>
      </c>
      <c r="T25" s="108"/>
      <c r="U25" s="111">
        <f t="shared" si="9"/>
        <v>0</v>
      </c>
      <c r="V25" s="106"/>
      <c r="W25" s="110"/>
      <c r="X25" s="110"/>
      <c r="Y25" s="110"/>
      <c r="Z25" s="110">
        <f t="shared" si="10"/>
        <v>0</v>
      </c>
      <c r="AA25" s="110"/>
      <c r="AB25" s="110"/>
      <c r="AC25" s="110"/>
      <c r="AD25" s="110"/>
      <c r="AE25" s="110"/>
      <c r="AF25" s="110"/>
      <c r="AG25" s="110"/>
      <c r="AH25" s="113"/>
      <c r="AI25" s="110">
        <f t="shared" si="11"/>
        <v>64179.27656249999</v>
      </c>
      <c r="AJ25" s="114"/>
      <c r="AK25" s="115"/>
    </row>
    <row r="26" spans="1:37" s="81" customFormat="1" ht="39" customHeight="1">
      <c r="A26" s="171">
        <v>9</v>
      </c>
      <c r="B26" s="174" t="s">
        <v>124</v>
      </c>
      <c r="C26" s="106" t="s">
        <v>139</v>
      </c>
      <c r="D26" s="106" t="s">
        <v>133</v>
      </c>
      <c r="E26" s="104" t="s">
        <v>140</v>
      </c>
      <c r="F26" s="105">
        <v>4.1</v>
      </c>
      <c r="G26" s="107">
        <v>12</v>
      </c>
      <c r="H26" s="108">
        <f t="shared" si="0"/>
        <v>72557.7</v>
      </c>
      <c r="I26" s="108">
        <f t="shared" si="1"/>
        <v>18139.425</v>
      </c>
      <c r="J26" s="108">
        <f t="shared" si="12"/>
        <v>22674.28125</v>
      </c>
      <c r="K26" s="109">
        <f t="shared" si="2"/>
        <v>113371.40625</v>
      </c>
      <c r="L26" s="110">
        <v>4</v>
      </c>
      <c r="M26" s="110"/>
      <c r="N26" s="110"/>
      <c r="O26" s="110">
        <f t="shared" si="3"/>
        <v>25193.645833333332</v>
      </c>
      <c r="P26" s="110">
        <f t="shared" si="4"/>
        <v>0</v>
      </c>
      <c r="Q26" s="110">
        <f t="shared" si="5"/>
        <v>0</v>
      </c>
      <c r="R26" s="110">
        <f t="shared" si="6"/>
        <v>25193.645833333332</v>
      </c>
      <c r="S26" s="110">
        <f t="shared" si="7"/>
        <v>2519.3645833333335</v>
      </c>
      <c r="T26" s="108">
        <f t="shared" si="8"/>
        <v>4</v>
      </c>
      <c r="U26" s="111">
        <f t="shared" si="9"/>
        <v>7558.093749999999</v>
      </c>
      <c r="V26" s="112">
        <f>K26*0.35/18*(L26+M26+N26)</f>
        <v>8817.776041666666</v>
      </c>
      <c r="W26" s="110"/>
      <c r="X26" s="110">
        <v>4</v>
      </c>
      <c r="Y26" s="110">
        <v>9</v>
      </c>
      <c r="Z26" s="110">
        <f t="shared" si="10"/>
        <v>13</v>
      </c>
      <c r="AA26" s="110">
        <f>SUM(17697/18*0.2*Z26)</f>
        <v>2556.233333333333</v>
      </c>
      <c r="AB26" s="110"/>
      <c r="AC26" s="110"/>
      <c r="AD26" s="110"/>
      <c r="AE26" s="110"/>
      <c r="AF26" s="110"/>
      <c r="AG26" s="110"/>
      <c r="AH26" s="113"/>
      <c r="AI26" s="110">
        <f t="shared" si="11"/>
        <v>46645.11354166666</v>
      </c>
      <c r="AJ26" s="114"/>
      <c r="AK26" s="115"/>
    </row>
    <row r="27" spans="1:37" s="81" customFormat="1" ht="39" customHeight="1">
      <c r="A27" s="172"/>
      <c r="B27" s="175"/>
      <c r="C27" s="106"/>
      <c r="D27" s="106" t="s">
        <v>149</v>
      </c>
      <c r="E27" s="104" t="s">
        <v>90</v>
      </c>
      <c r="F27" s="105">
        <v>3.57</v>
      </c>
      <c r="G27" s="107">
        <v>12</v>
      </c>
      <c r="H27" s="108">
        <f>17697*F27</f>
        <v>63178.28999999999</v>
      </c>
      <c r="I27" s="108">
        <f t="shared" si="1"/>
        <v>15794.572499999998</v>
      </c>
      <c r="J27" s="108">
        <f>(H27+I27)*0.25</f>
        <v>19743.215624999997</v>
      </c>
      <c r="K27" s="109">
        <f t="shared" si="2"/>
        <v>98716.07812499999</v>
      </c>
      <c r="L27" s="110"/>
      <c r="M27" s="110">
        <v>9</v>
      </c>
      <c r="N27" s="110"/>
      <c r="O27" s="110">
        <f t="shared" si="3"/>
        <v>0</v>
      </c>
      <c r="P27" s="110">
        <f t="shared" si="4"/>
        <v>49358.03906249999</v>
      </c>
      <c r="Q27" s="110">
        <f>N27/18*K27</f>
        <v>0</v>
      </c>
      <c r="R27" s="110">
        <f t="shared" si="6"/>
        <v>49358.03906249999</v>
      </c>
      <c r="S27" s="110">
        <f>R27*0.1</f>
        <v>4935.803906249999</v>
      </c>
      <c r="T27" s="108">
        <f t="shared" si="8"/>
        <v>9</v>
      </c>
      <c r="U27" s="111">
        <f t="shared" si="9"/>
        <v>14807.411718749998</v>
      </c>
      <c r="V27" s="106"/>
      <c r="W27" s="110"/>
      <c r="X27" s="110"/>
      <c r="Y27" s="110"/>
      <c r="Z27" s="110">
        <f t="shared" si="10"/>
        <v>0</v>
      </c>
      <c r="AA27" s="110"/>
      <c r="AB27" s="110"/>
      <c r="AC27" s="110"/>
      <c r="AD27" s="110"/>
      <c r="AE27" s="110"/>
      <c r="AF27" s="110"/>
      <c r="AG27" s="110"/>
      <c r="AH27" s="113"/>
      <c r="AI27" s="110">
        <f t="shared" si="11"/>
        <v>69101.25468749998</v>
      </c>
      <c r="AJ27" s="114"/>
      <c r="AK27" s="115"/>
    </row>
    <row r="28" spans="1:37" s="81" customFormat="1" ht="39" customHeight="1">
      <c r="A28" s="104">
        <v>10</v>
      </c>
      <c r="B28" s="118" t="s">
        <v>125</v>
      </c>
      <c r="C28" s="106" t="s">
        <v>78</v>
      </c>
      <c r="D28" s="106" t="s">
        <v>126</v>
      </c>
      <c r="E28" s="104" t="s">
        <v>61</v>
      </c>
      <c r="F28" s="105">
        <v>4.66</v>
      </c>
      <c r="G28" s="107">
        <v>6</v>
      </c>
      <c r="H28" s="108">
        <f t="shared" si="0"/>
        <v>82468.02</v>
      </c>
      <c r="I28" s="108">
        <f t="shared" si="1"/>
        <v>20617.005</v>
      </c>
      <c r="J28" s="108">
        <f t="shared" si="12"/>
        <v>25771.256250000002</v>
      </c>
      <c r="K28" s="109">
        <f t="shared" si="2"/>
        <v>128856.28125000001</v>
      </c>
      <c r="L28" s="110"/>
      <c r="M28" s="110">
        <v>9</v>
      </c>
      <c r="N28" s="110"/>
      <c r="O28" s="110">
        <f t="shared" si="3"/>
        <v>0</v>
      </c>
      <c r="P28" s="110">
        <f t="shared" si="4"/>
        <v>64428.14062500001</v>
      </c>
      <c r="Q28" s="110">
        <f t="shared" si="5"/>
        <v>0</v>
      </c>
      <c r="R28" s="110">
        <f t="shared" si="6"/>
        <v>64428.14062500001</v>
      </c>
      <c r="S28" s="110">
        <f t="shared" si="7"/>
        <v>6442.8140625000015</v>
      </c>
      <c r="T28" s="108">
        <f t="shared" si="8"/>
        <v>9</v>
      </c>
      <c r="U28" s="111">
        <f t="shared" si="9"/>
        <v>19328.4421875</v>
      </c>
      <c r="V28" s="112">
        <f>K28*0.3/18*(L28+M28+N28)</f>
        <v>19328.4421875</v>
      </c>
      <c r="W28" s="110"/>
      <c r="X28" s="110"/>
      <c r="Y28" s="110">
        <v>9</v>
      </c>
      <c r="Z28" s="110">
        <f t="shared" si="10"/>
        <v>9</v>
      </c>
      <c r="AA28" s="110"/>
      <c r="AB28" s="110">
        <f>SUM(17697/18*0.25*Z28)</f>
        <v>2212.125</v>
      </c>
      <c r="AC28" s="110"/>
      <c r="AD28" s="110"/>
      <c r="AE28" s="110"/>
      <c r="AF28" s="110"/>
      <c r="AG28" s="110"/>
      <c r="AH28" s="113"/>
      <c r="AI28" s="110">
        <f t="shared" si="11"/>
        <v>111739.9640625</v>
      </c>
      <c r="AJ28" s="114"/>
      <c r="AK28" s="115"/>
    </row>
    <row r="29" spans="1:37" s="81" customFormat="1" ht="39" customHeight="1">
      <c r="A29" s="104"/>
      <c r="B29" s="105" t="s">
        <v>107</v>
      </c>
      <c r="C29" s="106" t="s">
        <v>151</v>
      </c>
      <c r="D29" s="106" t="s">
        <v>68</v>
      </c>
      <c r="E29" s="104" t="s">
        <v>63</v>
      </c>
      <c r="F29" s="105">
        <v>4.27</v>
      </c>
      <c r="G29" s="107">
        <v>5</v>
      </c>
      <c r="H29" s="108">
        <f t="shared" si="0"/>
        <v>75566.18999999999</v>
      </c>
      <c r="I29" s="108">
        <f t="shared" si="1"/>
        <v>18891.547499999997</v>
      </c>
      <c r="J29" s="108">
        <f t="shared" si="12"/>
        <v>23614.434374999997</v>
      </c>
      <c r="K29" s="109">
        <f t="shared" si="2"/>
        <v>118072.17187499999</v>
      </c>
      <c r="L29" s="110"/>
      <c r="M29" s="110">
        <v>4</v>
      </c>
      <c r="N29" s="110"/>
      <c r="O29" s="110">
        <f t="shared" si="3"/>
        <v>0</v>
      </c>
      <c r="P29" s="110">
        <f t="shared" si="4"/>
        <v>26238.26041666666</v>
      </c>
      <c r="Q29" s="110">
        <f t="shared" si="5"/>
        <v>0</v>
      </c>
      <c r="R29" s="110">
        <f t="shared" si="6"/>
        <v>26238.26041666666</v>
      </c>
      <c r="S29" s="110">
        <f t="shared" si="7"/>
        <v>2623.8260416666662</v>
      </c>
      <c r="T29" s="108">
        <f t="shared" si="8"/>
        <v>4</v>
      </c>
      <c r="U29" s="111">
        <f t="shared" si="9"/>
        <v>7871.478124999999</v>
      </c>
      <c r="V29" s="106"/>
      <c r="W29" s="110"/>
      <c r="X29" s="110"/>
      <c r="Y29" s="110">
        <v>4</v>
      </c>
      <c r="Z29" s="110">
        <f t="shared" si="10"/>
        <v>4</v>
      </c>
      <c r="AA29" s="110">
        <f>SUM(17697/18*0.2*Z29)</f>
        <v>786.5333333333333</v>
      </c>
      <c r="AB29" s="110"/>
      <c r="AC29" s="110"/>
      <c r="AD29" s="110"/>
      <c r="AE29" s="110"/>
      <c r="AF29" s="110"/>
      <c r="AG29" s="110"/>
      <c r="AH29" s="113"/>
      <c r="AI29" s="110">
        <f t="shared" si="11"/>
        <v>37520.09791666666</v>
      </c>
      <c r="AJ29" s="114"/>
      <c r="AK29" s="115"/>
    </row>
    <row r="30" spans="1:37" s="81" customFormat="1" ht="39" customHeight="1">
      <c r="A30" s="104">
        <v>11</v>
      </c>
      <c r="B30" s="105" t="s">
        <v>138</v>
      </c>
      <c r="C30" s="106" t="s">
        <v>48</v>
      </c>
      <c r="D30" s="106" t="s">
        <v>141</v>
      </c>
      <c r="E30" s="104" t="s">
        <v>147</v>
      </c>
      <c r="F30" s="105">
        <v>5.01</v>
      </c>
      <c r="G30" s="107">
        <v>9</v>
      </c>
      <c r="H30" s="108">
        <f t="shared" si="0"/>
        <v>88661.97</v>
      </c>
      <c r="I30" s="108">
        <f t="shared" si="1"/>
        <v>22165.4925</v>
      </c>
      <c r="J30" s="108">
        <f t="shared" si="12"/>
        <v>27706.865625</v>
      </c>
      <c r="K30" s="109">
        <f t="shared" si="2"/>
        <v>138534.328125</v>
      </c>
      <c r="L30" s="110"/>
      <c r="M30" s="110">
        <v>5</v>
      </c>
      <c r="N30" s="110"/>
      <c r="O30" s="110">
        <f t="shared" si="3"/>
        <v>0</v>
      </c>
      <c r="P30" s="110">
        <f t="shared" si="4"/>
        <v>38481.7578125</v>
      </c>
      <c r="Q30" s="110">
        <f t="shared" si="5"/>
        <v>0</v>
      </c>
      <c r="R30" s="110">
        <f t="shared" si="6"/>
        <v>38481.7578125</v>
      </c>
      <c r="S30" s="110">
        <f t="shared" si="7"/>
        <v>3848.17578125</v>
      </c>
      <c r="T30" s="108">
        <f t="shared" si="8"/>
        <v>5</v>
      </c>
      <c r="U30" s="111">
        <f t="shared" si="9"/>
        <v>11544.527343749998</v>
      </c>
      <c r="V30" s="112">
        <f>K30*0.4/18*(L30+M30+N30)</f>
        <v>15392.703125</v>
      </c>
      <c r="W30" s="110"/>
      <c r="X30" s="110"/>
      <c r="Y30" s="110">
        <v>5</v>
      </c>
      <c r="Z30" s="110">
        <f t="shared" si="10"/>
        <v>5</v>
      </c>
      <c r="AA30" s="110">
        <f>SUM(17697/18*0.2*Z30)</f>
        <v>983.1666666666666</v>
      </c>
      <c r="AB30" s="110"/>
      <c r="AC30" s="110"/>
      <c r="AD30" s="110"/>
      <c r="AE30" s="110"/>
      <c r="AF30" s="110"/>
      <c r="AG30" s="110"/>
      <c r="AH30" s="113"/>
      <c r="AI30" s="110">
        <f t="shared" si="11"/>
        <v>70250.33072916667</v>
      </c>
      <c r="AJ30" s="114"/>
      <c r="AK30" s="115"/>
    </row>
    <row r="31" spans="1:37" s="81" customFormat="1" ht="39" customHeight="1">
      <c r="A31" s="104"/>
      <c r="B31" s="105" t="s">
        <v>111</v>
      </c>
      <c r="C31" s="106" t="s">
        <v>85</v>
      </c>
      <c r="D31" s="106" t="s">
        <v>81</v>
      </c>
      <c r="E31" s="104" t="s">
        <v>90</v>
      </c>
      <c r="F31" s="105">
        <v>3.69</v>
      </c>
      <c r="G31" s="107">
        <v>21</v>
      </c>
      <c r="H31" s="108">
        <f t="shared" si="0"/>
        <v>65301.93</v>
      </c>
      <c r="I31" s="108">
        <f t="shared" si="1"/>
        <v>16325.4825</v>
      </c>
      <c r="J31" s="108">
        <f t="shared" si="12"/>
        <v>20406.853125</v>
      </c>
      <c r="K31" s="109">
        <f t="shared" si="2"/>
        <v>102034.265625</v>
      </c>
      <c r="L31" s="110"/>
      <c r="M31" s="110">
        <v>1</v>
      </c>
      <c r="N31" s="110"/>
      <c r="O31" s="110">
        <f t="shared" si="3"/>
        <v>0</v>
      </c>
      <c r="P31" s="110">
        <f t="shared" si="4"/>
        <v>5668.5703125</v>
      </c>
      <c r="Q31" s="110">
        <f t="shared" si="5"/>
        <v>0</v>
      </c>
      <c r="R31" s="110">
        <f t="shared" si="6"/>
        <v>5668.5703125</v>
      </c>
      <c r="S31" s="110">
        <f t="shared" si="7"/>
        <v>566.85703125</v>
      </c>
      <c r="T31" s="108">
        <f t="shared" si="8"/>
        <v>1</v>
      </c>
      <c r="U31" s="111">
        <f t="shared" si="9"/>
        <v>1700.57109375</v>
      </c>
      <c r="V31" s="106"/>
      <c r="W31" s="110"/>
      <c r="X31" s="110"/>
      <c r="Y31" s="110"/>
      <c r="Z31" s="110">
        <f t="shared" si="10"/>
        <v>0</v>
      </c>
      <c r="AA31" s="110"/>
      <c r="AB31" s="110"/>
      <c r="AC31" s="110"/>
      <c r="AD31" s="110"/>
      <c r="AE31" s="110"/>
      <c r="AF31" s="110"/>
      <c r="AG31" s="110"/>
      <c r="AH31" s="113"/>
      <c r="AI31" s="110">
        <f t="shared" si="11"/>
        <v>7935.998437499999</v>
      </c>
      <c r="AJ31" s="114"/>
      <c r="AK31" s="115"/>
    </row>
    <row r="32" spans="1:37" s="81" customFormat="1" ht="39" customHeight="1">
      <c r="A32" s="104"/>
      <c r="B32" s="105" t="s">
        <v>137</v>
      </c>
      <c r="C32" s="106" t="s">
        <v>152</v>
      </c>
      <c r="D32" s="106" t="s">
        <v>136</v>
      </c>
      <c r="E32" s="104" t="s">
        <v>63</v>
      </c>
      <c r="F32" s="105">
        <v>4.14</v>
      </c>
      <c r="G32" s="107">
        <v>1</v>
      </c>
      <c r="H32" s="108">
        <f t="shared" si="0"/>
        <v>73265.57999999999</v>
      </c>
      <c r="I32" s="108">
        <f t="shared" si="1"/>
        <v>18316.394999999997</v>
      </c>
      <c r="J32" s="108">
        <f t="shared" si="12"/>
        <v>22895.493749999994</v>
      </c>
      <c r="K32" s="109">
        <f t="shared" si="2"/>
        <v>114477.46874999997</v>
      </c>
      <c r="L32" s="110"/>
      <c r="M32" s="110">
        <v>3</v>
      </c>
      <c r="N32" s="110"/>
      <c r="O32" s="110">
        <f t="shared" si="3"/>
        <v>0</v>
      </c>
      <c r="P32" s="110">
        <f t="shared" si="4"/>
        <v>19079.578124999993</v>
      </c>
      <c r="Q32" s="110">
        <f t="shared" si="5"/>
        <v>0</v>
      </c>
      <c r="R32" s="110">
        <f t="shared" si="6"/>
        <v>19079.578124999993</v>
      </c>
      <c r="S32" s="110">
        <f t="shared" si="7"/>
        <v>1907.9578124999994</v>
      </c>
      <c r="T32" s="108">
        <f t="shared" si="8"/>
        <v>3</v>
      </c>
      <c r="U32" s="111">
        <f t="shared" si="9"/>
        <v>5723.8734374999985</v>
      </c>
      <c r="V32" s="106"/>
      <c r="W32" s="110"/>
      <c r="X32" s="110"/>
      <c r="Y32" s="110"/>
      <c r="Z32" s="110">
        <f t="shared" si="10"/>
        <v>0</v>
      </c>
      <c r="AA32" s="110"/>
      <c r="AB32" s="110"/>
      <c r="AC32" s="110"/>
      <c r="AD32" s="110"/>
      <c r="AE32" s="110"/>
      <c r="AF32" s="110"/>
      <c r="AG32" s="110"/>
      <c r="AH32" s="113"/>
      <c r="AI32" s="110">
        <f t="shared" si="11"/>
        <v>26711.409374999992</v>
      </c>
      <c r="AJ32" s="114"/>
      <c r="AK32" s="119"/>
    </row>
    <row r="33" spans="1:37" s="81" customFormat="1" ht="39" customHeight="1" thickBot="1">
      <c r="A33" s="104"/>
      <c r="B33" s="105" t="s">
        <v>135</v>
      </c>
      <c r="C33" s="106" t="s">
        <v>153</v>
      </c>
      <c r="D33" s="106" t="s">
        <v>112</v>
      </c>
      <c r="E33" s="104" t="s">
        <v>60</v>
      </c>
      <c r="F33" s="105">
        <v>5.2</v>
      </c>
      <c r="G33" s="107">
        <v>36</v>
      </c>
      <c r="H33" s="108">
        <f t="shared" si="0"/>
        <v>92024.40000000001</v>
      </c>
      <c r="I33" s="108">
        <f t="shared" si="1"/>
        <v>23006.100000000002</v>
      </c>
      <c r="J33" s="108">
        <f t="shared" si="12"/>
        <v>28757.625000000004</v>
      </c>
      <c r="K33" s="109">
        <f t="shared" si="2"/>
        <v>143788.12500000003</v>
      </c>
      <c r="L33" s="110">
        <v>1</v>
      </c>
      <c r="M33" s="110">
        <v>3</v>
      </c>
      <c r="N33" s="110"/>
      <c r="O33" s="110">
        <f t="shared" si="3"/>
        <v>7988.229166666668</v>
      </c>
      <c r="P33" s="110">
        <f t="shared" si="4"/>
        <v>23964.687500000004</v>
      </c>
      <c r="Q33" s="110">
        <f t="shared" si="5"/>
        <v>0</v>
      </c>
      <c r="R33" s="110">
        <f t="shared" si="6"/>
        <v>31952.91666666667</v>
      </c>
      <c r="S33" s="110">
        <f t="shared" si="7"/>
        <v>3195.2916666666674</v>
      </c>
      <c r="T33" s="108">
        <f t="shared" si="8"/>
        <v>4</v>
      </c>
      <c r="U33" s="111">
        <f t="shared" si="9"/>
        <v>9585.875000000002</v>
      </c>
      <c r="V33" s="112">
        <f>K33*0.35/18*(L33+M33+N33)</f>
        <v>11183.520833333336</v>
      </c>
      <c r="W33" s="110"/>
      <c r="X33" s="110"/>
      <c r="Y33" s="110"/>
      <c r="Z33" s="110">
        <f t="shared" si="10"/>
        <v>0</v>
      </c>
      <c r="AA33" s="110"/>
      <c r="AB33" s="110"/>
      <c r="AC33" s="110"/>
      <c r="AD33" s="110"/>
      <c r="AE33" s="110"/>
      <c r="AF33" s="110"/>
      <c r="AG33" s="110"/>
      <c r="AH33" s="113"/>
      <c r="AI33" s="110">
        <f t="shared" si="11"/>
        <v>55917.60416666667</v>
      </c>
      <c r="AJ33" s="114"/>
      <c r="AK33" s="119"/>
    </row>
    <row r="34" spans="1:37" s="124" customFormat="1" ht="39" customHeight="1" thickBot="1">
      <c r="A34" s="120"/>
      <c r="B34" s="120" t="s">
        <v>16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1">
        <f>SUM(L16:L33)</f>
        <v>73</v>
      </c>
      <c r="M34" s="121">
        <f aca="true" t="shared" si="13" ref="M34:AI34">SUM(M16:M33)</f>
        <v>108</v>
      </c>
      <c r="N34" s="121">
        <f t="shared" si="13"/>
        <v>0</v>
      </c>
      <c r="O34" s="121">
        <f t="shared" si="13"/>
        <v>460905.46093750006</v>
      </c>
      <c r="P34" s="121">
        <f t="shared" si="13"/>
        <v>730400.6614583331</v>
      </c>
      <c r="Q34" s="121">
        <f t="shared" si="13"/>
        <v>0</v>
      </c>
      <c r="R34" s="121">
        <f t="shared" si="13"/>
        <v>1191306.1223958337</v>
      </c>
      <c r="S34" s="121">
        <f t="shared" si="13"/>
        <v>119130.61223958332</v>
      </c>
      <c r="T34" s="121">
        <f t="shared" si="13"/>
        <v>161</v>
      </c>
      <c r="U34" s="121">
        <f t="shared" si="13"/>
        <v>339888.39765625005</v>
      </c>
      <c r="V34" s="121">
        <f t="shared" si="13"/>
        <v>139179.53125000003</v>
      </c>
      <c r="W34" s="121">
        <f t="shared" si="13"/>
        <v>0</v>
      </c>
      <c r="X34" s="121">
        <f t="shared" si="13"/>
        <v>30</v>
      </c>
      <c r="Y34" s="121">
        <f t="shared" si="13"/>
        <v>66</v>
      </c>
      <c r="Z34" s="121">
        <f t="shared" si="13"/>
        <v>96</v>
      </c>
      <c r="AA34" s="121">
        <f t="shared" si="13"/>
        <v>14157.266666666665</v>
      </c>
      <c r="AB34" s="121">
        <f t="shared" si="13"/>
        <v>5899.125</v>
      </c>
      <c r="AC34" s="121">
        <f t="shared" si="13"/>
        <v>8848.5</v>
      </c>
      <c r="AD34" s="121">
        <f t="shared" si="13"/>
        <v>15927.3</v>
      </c>
      <c r="AE34" s="121">
        <f t="shared" si="13"/>
        <v>0</v>
      </c>
      <c r="AF34" s="121">
        <f t="shared" si="13"/>
        <v>0</v>
      </c>
      <c r="AG34" s="121">
        <f t="shared" si="13"/>
        <v>0</v>
      </c>
      <c r="AH34" s="121">
        <f t="shared" si="13"/>
        <v>7521.125</v>
      </c>
      <c r="AI34" s="121">
        <f t="shared" si="13"/>
        <v>1841857.9802083336</v>
      </c>
      <c r="AJ34" s="122"/>
      <c r="AK34" s="123">
        <f>SUM(AK16:AK31)</f>
        <v>0</v>
      </c>
    </row>
    <row r="35" spans="1:37" s="79" customFormat="1" ht="19.5" customHeight="1">
      <c r="A35" s="78"/>
      <c r="B35" s="78"/>
      <c r="C35" s="78"/>
      <c r="D35" s="78"/>
      <c r="E35" s="78"/>
      <c r="F35" s="78"/>
      <c r="G35" s="94"/>
      <c r="H35" s="78"/>
      <c r="I35" s="78"/>
      <c r="J35" s="78"/>
      <c r="K35" s="78"/>
      <c r="L35" s="94"/>
      <c r="M35" s="94"/>
      <c r="N35" s="94"/>
      <c r="O35" s="125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94"/>
      <c r="AA35" s="78"/>
      <c r="AB35" s="78"/>
      <c r="AC35" s="78"/>
      <c r="AD35" s="78"/>
      <c r="AE35" s="78"/>
      <c r="AF35" s="78"/>
      <c r="AG35" s="78"/>
      <c r="AH35" s="78"/>
      <c r="AI35" s="126"/>
      <c r="AJ35" s="127"/>
      <c r="AK35" s="78"/>
    </row>
    <row r="36" spans="1:37" s="134" customFormat="1" ht="16.5" customHeight="1">
      <c r="A36" s="128"/>
      <c r="B36" s="129" t="s">
        <v>18</v>
      </c>
      <c r="C36" s="129" t="s">
        <v>52</v>
      </c>
      <c r="D36" s="130"/>
      <c r="E36" s="130"/>
      <c r="F36" s="130"/>
      <c r="G36" s="131"/>
      <c r="H36" s="130"/>
      <c r="I36" s="130"/>
      <c r="J36" s="130"/>
      <c r="K36" s="130"/>
      <c r="L36" s="131"/>
      <c r="M36" s="131"/>
      <c r="N36" s="131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1"/>
      <c r="AA36" s="150"/>
      <c r="AB36" s="150"/>
      <c r="AC36" s="132"/>
      <c r="AD36" s="129" t="s">
        <v>116</v>
      </c>
      <c r="AE36" s="129"/>
      <c r="AF36" s="129"/>
      <c r="AG36" s="129"/>
      <c r="AH36" s="129"/>
      <c r="AI36" s="133"/>
      <c r="AJ36" s="128"/>
      <c r="AK36" s="128"/>
    </row>
  </sheetData>
  <sheetProtection/>
  <mergeCells count="46">
    <mergeCell ref="A26:A27"/>
    <mergeCell ref="B26:B27"/>
    <mergeCell ref="AC15:AD15"/>
    <mergeCell ref="AC14:AH14"/>
    <mergeCell ref="A21:A22"/>
    <mergeCell ref="O14:Q14"/>
    <mergeCell ref="R14:R15"/>
    <mergeCell ref="S14:S15"/>
    <mergeCell ref="B17:B18"/>
    <mergeCell ref="B21:B22"/>
    <mergeCell ref="A14:A15"/>
    <mergeCell ref="B14:B15"/>
    <mergeCell ref="C14:C15"/>
    <mergeCell ref="D14:D15"/>
    <mergeCell ref="A17:A18"/>
    <mergeCell ref="AJ14:AJ15"/>
    <mergeCell ref="E14:E15"/>
    <mergeCell ref="G14:G15"/>
    <mergeCell ref="H14:H15"/>
    <mergeCell ref="J14:J15"/>
    <mergeCell ref="AH13:AK13"/>
    <mergeCell ref="AK14:AK15"/>
    <mergeCell ref="AI14:AI15"/>
    <mergeCell ref="T14:U14"/>
    <mergeCell ref="V14:V15"/>
    <mergeCell ref="W14:W15"/>
    <mergeCell ref="B9:AB9"/>
    <mergeCell ref="A4:C4"/>
    <mergeCell ref="F14:F15"/>
    <mergeCell ref="L4:AB4"/>
    <mergeCell ref="AD4:AF4"/>
    <mergeCell ref="L6:AB6"/>
    <mergeCell ref="AD6:AF6"/>
    <mergeCell ref="AD7:AF7"/>
    <mergeCell ref="L5:AB5"/>
    <mergeCell ref="AD5:AF5"/>
    <mergeCell ref="K14:K15"/>
    <mergeCell ref="L14:N14"/>
    <mergeCell ref="I14:I15"/>
    <mergeCell ref="AA36:AB36"/>
    <mergeCell ref="X14:AB14"/>
    <mergeCell ref="AI2:AJ2"/>
    <mergeCell ref="L3:AB3"/>
    <mergeCell ref="AD3:AF3"/>
    <mergeCell ref="AD9:AF9"/>
    <mergeCell ref="AD8:AF8"/>
  </mergeCells>
  <printOptions/>
  <pageMargins left="0" right="0" top="0" bottom="0" header="0.31496062992125984" footer="0.31496062992125984"/>
  <pageSetup fitToHeight="2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45"/>
  <sheetViews>
    <sheetView zoomScale="78" zoomScaleNormal="78" zoomScalePageLayoutView="0" workbookViewId="0" topLeftCell="A22">
      <selection activeCell="B40" sqref="B40"/>
    </sheetView>
  </sheetViews>
  <sheetFormatPr defaultColWidth="9.00390625" defaultRowHeight="12.75"/>
  <cols>
    <col min="1" max="1" width="5.625" style="0" customWidth="1"/>
    <col min="2" max="2" width="29.00390625" style="0" customWidth="1"/>
    <col min="3" max="3" width="15.625" style="0" customWidth="1"/>
    <col min="4" max="4" width="13.625" style="0" customWidth="1"/>
    <col min="11" max="14" width="9.25390625" style="0" bestFit="1" customWidth="1"/>
    <col min="15" max="15" width="9.875" style="0" bestFit="1" customWidth="1"/>
    <col min="16" max="22" width="9.25390625" style="0" bestFit="1" customWidth="1"/>
    <col min="23" max="23" width="9.875" style="0" bestFit="1" customWidth="1"/>
    <col min="24" max="29" width="9.25390625" style="0" bestFit="1" customWidth="1"/>
  </cols>
  <sheetData>
    <row r="4" spans="1:34" ht="18.75">
      <c r="A4" s="51"/>
      <c r="B4" s="52" t="s">
        <v>4</v>
      </c>
      <c r="C4" s="51"/>
      <c r="D4" s="51"/>
      <c r="E4" s="51"/>
      <c r="F4" s="53"/>
      <c r="G4" s="190" t="s">
        <v>5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1" t="s">
        <v>19</v>
      </c>
      <c r="AB4" s="191"/>
      <c r="AC4" s="191"/>
      <c r="AD4" s="22">
        <v>0</v>
      </c>
      <c r="AE4" s="27" t="s">
        <v>0</v>
      </c>
      <c r="AF4" s="27" t="s">
        <v>1</v>
      </c>
      <c r="AG4" s="27" t="s">
        <v>2</v>
      </c>
      <c r="AH4" s="1"/>
    </row>
    <row r="5" spans="1:34" ht="18.75">
      <c r="A5" s="193" t="s">
        <v>73</v>
      </c>
      <c r="B5" s="193"/>
      <c r="C5" s="193"/>
      <c r="D5" s="51"/>
      <c r="E5" s="51"/>
      <c r="F5" s="53"/>
      <c r="G5" s="190" t="s">
        <v>6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89" t="s">
        <v>20</v>
      </c>
      <c r="AB5" s="189"/>
      <c r="AC5" s="189"/>
      <c r="AD5" s="22">
        <v>1</v>
      </c>
      <c r="AE5" s="22">
        <v>4</v>
      </c>
      <c r="AF5" s="22">
        <v>4</v>
      </c>
      <c r="AG5" s="22">
        <v>0</v>
      </c>
      <c r="AH5" s="1"/>
    </row>
    <row r="6" spans="1:34" ht="18.75">
      <c r="A6" s="55"/>
      <c r="B6" s="54"/>
      <c r="C6" s="55"/>
      <c r="D6" s="51"/>
      <c r="E6" s="51"/>
      <c r="F6" s="53"/>
      <c r="G6" s="190" t="s">
        <v>7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89" t="s">
        <v>26</v>
      </c>
      <c r="AB6" s="189"/>
      <c r="AC6" s="189"/>
      <c r="AD6" s="22">
        <v>0.5</v>
      </c>
      <c r="AE6" s="22">
        <v>3</v>
      </c>
      <c r="AF6" s="22">
        <v>3</v>
      </c>
      <c r="AG6" s="22">
        <v>0</v>
      </c>
      <c r="AH6" s="1"/>
    </row>
    <row r="7" spans="1:34" ht="18.75">
      <c r="A7" s="56"/>
      <c r="B7" s="57" t="s">
        <v>58</v>
      </c>
      <c r="C7" s="55"/>
      <c r="D7" s="51"/>
      <c r="E7" s="51"/>
      <c r="F7" s="53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89" t="s">
        <v>21</v>
      </c>
      <c r="AB7" s="189"/>
      <c r="AC7" s="189"/>
      <c r="AD7" s="22">
        <v>1</v>
      </c>
      <c r="AE7" s="22">
        <v>9</v>
      </c>
      <c r="AF7" s="22">
        <v>17</v>
      </c>
      <c r="AG7" s="22">
        <v>0</v>
      </c>
      <c r="AH7" s="1"/>
    </row>
    <row r="8" spans="1:34" ht="20.25">
      <c r="A8" s="55"/>
      <c r="B8" s="58" t="s">
        <v>96</v>
      </c>
      <c r="C8" s="55"/>
      <c r="D8" s="55"/>
      <c r="E8" s="55"/>
      <c r="F8" s="59"/>
      <c r="G8" s="187" t="s">
        <v>36</v>
      </c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9" t="s">
        <v>22</v>
      </c>
      <c r="AB8" s="189"/>
      <c r="AC8" s="189"/>
      <c r="AD8" s="22">
        <v>24</v>
      </c>
      <c r="AE8" s="22">
        <v>82</v>
      </c>
      <c r="AF8" s="22">
        <v>109</v>
      </c>
      <c r="AG8" s="22">
        <v>0</v>
      </c>
      <c r="AH8" s="1"/>
    </row>
    <row r="9" spans="1:34" ht="18.75">
      <c r="A9" s="51"/>
      <c r="B9" s="55"/>
      <c r="C9" s="55"/>
      <c r="D9" s="55"/>
      <c r="E9" s="55"/>
      <c r="F9" s="5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189" t="s">
        <v>23</v>
      </c>
      <c r="AB9" s="189"/>
      <c r="AC9" s="189"/>
      <c r="AD9" s="22">
        <v>0</v>
      </c>
      <c r="AE9" s="22">
        <v>3</v>
      </c>
      <c r="AF9" s="22">
        <v>7</v>
      </c>
      <c r="AG9" s="22">
        <v>0</v>
      </c>
      <c r="AH9" s="1"/>
    </row>
    <row r="10" spans="1:34" ht="18.75">
      <c r="A10" s="51"/>
      <c r="B10" s="187" t="s">
        <v>64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9" t="s">
        <v>24</v>
      </c>
      <c r="AB10" s="189"/>
      <c r="AC10" s="189"/>
      <c r="AD10" s="22">
        <v>1</v>
      </c>
      <c r="AE10" s="22">
        <v>6</v>
      </c>
      <c r="AF10" s="22">
        <v>10</v>
      </c>
      <c r="AG10" s="22">
        <v>0</v>
      </c>
      <c r="AH10" s="1"/>
    </row>
    <row r="11" spans="1:34" ht="18.75">
      <c r="A11" s="51"/>
      <c r="B11" s="55"/>
      <c r="C11" s="55"/>
      <c r="D11" s="55"/>
      <c r="E11" s="55"/>
      <c r="F11" s="5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191" t="s">
        <v>25</v>
      </c>
      <c r="AB11" s="191"/>
      <c r="AC11" s="191"/>
      <c r="AD11" s="22">
        <v>1</v>
      </c>
      <c r="AE11" s="22">
        <v>9</v>
      </c>
      <c r="AF11" s="22">
        <v>17</v>
      </c>
      <c r="AG11" s="22">
        <v>0</v>
      </c>
      <c r="AH11" s="1"/>
    </row>
    <row r="12" spans="1:34" ht="18.75">
      <c r="A12" s="51"/>
      <c r="B12" s="55"/>
      <c r="C12" s="55"/>
      <c r="D12" s="55"/>
      <c r="E12" s="55"/>
      <c r="F12" s="59"/>
      <c r="G12" s="187" t="s">
        <v>95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8"/>
      <c r="AB12" s="188"/>
      <c r="AC12" s="188"/>
      <c r="AD12" s="3"/>
      <c r="AE12" s="3"/>
      <c r="AF12" s="3"/>
      <c r="AG12" s="3"/>
      <c r="AH12" s="1"/>
    </row>
    <row r="13" spans="1:34" ht="18.75">
      <c r="A13" s="51"/>
      <c r="B13" s="55"/>
      <c r="C13" s="55"/>
      <c r="D13" s="55"/>
      <c r="E13" s="55"/>
      <c r="F13" s="59"/>
      <c r="G13" s="55"/>
      <c r="H13" s="55"/>
      <c r="I13" s="55"/>
      <c r="J13" s="55"/>
      <c r="K13" s="55"/>
      <c r="L13" s="55"/>
      <c r="M13" s="55"/>
      <c r="N13" s="193" t="s">
        <v>106</v>
      </c>
      <c r="O13" s="193"/>
      <c r="P13" s="193"/>
      <c r="Q13" s="193"/>
      <c r="R13" s="193"/>
      <c r="S13" s="193"/>
      <c r="T13" s="193"/>
      <c r="U13" s="193"/>
      <c r="V13" s="193"/>
      <c r="W13" s="55"/>
      <c r="X13" s="55"/>
      <c r="Y13" s="55"/>
      <c r="Z13" s="55"/>
      <c r="AA13" s="198"/>
      <c r="AB13" s="198"/>
      <c r="AC13" s="198"/>
      <c r="AD13" s="3"/>
      <c r="AE13" s="3"/>
      <c r="AF13" s="3"/>
      <c r="AG13" s="3"/>
      <c r="AH13" s="1"/>
    </row>
    <row r="14" spans="1:34" ht="18.75">
      <c r="A14" s="51"/>
      <c r="B14" s="55"/>
      <c r="C14" s="55"/>
      <c r="D14" s="55"/>
      <c r="E14" s="55"/>
      <c r="F14" s="59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3"/>
      <c r="AB14" s="1"/>
      <c r="AC14" s="1"/>
      <c r="AD14" s="1"/>
      <c r="AE14" s="199"/>
      <c r="AF14" s="199"/>
      <c r="AG14" s="199"/>
      <c r="AH14" s="200"/>
    </row>
    <row r="15" spans="1:34" ht="12.75">
      <c r="A15" s="1"/>
      <c r="B15" s="6"/>
      <c r="C15" s="6"/>
      <c r="D15" s="6"/>
      <c r="E15" s="6"/>
      <c r="F15" s="7"/>
      <c r="G15" s="201" t="s">
        <v>74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3"/>
      <c r="AB15" s="1"/>
      <c r="AC15" s="1"/>
      <c r="AD15" s="1"/>
      <c r="AE15" s="199"/>
      <c r="AF15" s="199"/>
      <c r="AG15" s="199"/>
      <c r="AH15" s="200"/>
    </row>
    <row r="16" spans="1:34" ht="12.7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99"/>
      <c r="AF16" s="199"/>
      <c r="AG16" s="199"/>
      <c r="AH16" s="200"/>
    </row>
    <row r="17" spans="1:34" ht="12.7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02"/>
      <c r="AG17" s="202"/>
      <c r="AH17" s="5"/>
    </row>
    <row r="18" spans="1:34" ht="12.7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02"/>
      <c r="AG18" s="202"/>
      <c r="AH18" s="5"/>
    </row>
    <row r="19" spans="1:34" ht="13.5" thickBot="1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94"/>
      <c r="AG19" s="194"/>
      <c r="AH19" s="9"/>
    </row>
    <row r="20" spans="1:34" ht="12.7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203" t="s">
        <v>8</v>
      </c>
      <c r="B21" s="203" t="s">
        <v>9</v>
      </c>
      <c r="C21" s="203" t="s">
        <v>37</v>
      </c>
      <c r="D21" s="203" t="s">
        <v>38</v>
      </c>
      <c r="E21" s="30"/>
      <c r="F21" s="209" t="s">
        <v>17</v>
      </c>
      <c r="G21" s="195" t="s">
        <v>10</v>
      </c>
      <c r="H21" s="195" t="s">
        <v>11</v>
      </c>
      <c r="I21" s="196" t="s">
        <v>33</v>
      </c>
      <c r="J21" s="28"/>
      <c r="K21" s="205" t="s">
        <v>12</v>
      </c>
      <c r="L21" s="205"/>
      <c r="M21" s="205"/>
      <c r="N21" s="205" t="s">
        <v>35</v>
      </c>
      <c r="O21" s="205"/>
      <c r="P21" s="205"/>
      <c r="Q21" s="206" t="s">
        <v>105</v>
      </c>
      <c r="R21" s="208">
        <v>0.1</v>
      </c>
      <c r="S21" s="208">
        <v>0.25</v>
      </c>
      <c r="T21" s="203" t="s">
        <v>13</v>
      </c>
      <c r="U21" s="203"/>
      <c r="V21" s="203"/>
      <c r="W21" s="203"/>
      <c r="X21" s="203"/>
      <c r="Y21" s="203"/>
      <c r="Z21" s="211" t="s">
        <v>14</v>
      </c>
      <c r="AA21" s="211"/>
      <c r="AB21" s="211"/>
      <c r="AC21" s="211"/>
      <c r="AD21" s="211"/>
      <c r="AE21" s="211"/>
      <c r="AF21" s="203" t="s">
        <v>34</v>
      </c>
      <c r="AG21" s="212" t="s">
        <v>104</v>
      </c>
      <c r="AH21" s="214"/>
    </row>
    <row r="22" spans="1:34" ht="83.25">
      <c r="A22" s="203"/>
      <c r="B22" s="203"/>
      <c r="C22" s="203"/>
      <c r="D22" s="203"/>
      <c r="E22" s="31" t="s">
        <v>88</v>
      </c>
      <c r="F22" s="210"/>
      <c r="G22" s="195"/>
      <c r="H22" s="195"/>
      <c r="I22" s="197"/>
      <c r="J22" s="29" t="s">
        <v>89</v>
      </c>
      <c r="K22" s="11" t="s">
        <v>27</v>
      </c>
      <c r="L22" s="11" t="s">
        <v>28</v>
      </c>
      <c r="M22" s="11" t="s">
        <v>29</v>
      </c>
      <c r="N22" s="11" t="s">
        <v>27</v>
      </c>
      <c r="O22" s="11" t="s">
        <v>28</v>
      </c>
      <c r="P22" s="11" t="s">
        <v>29</v>
      </c>
      <c r="Q22" s="207"/>
      <c r="R22" s="207"/>
      <c r="S22" s="207"/>
      <c r="T22" s="11" t="s">
        <v>30</v>
      </c>
      <c r="U22" s="63" t="s">
        <v>27</v>
      </c>
      <c r="V22" s="11" t="s">
        <v>15</v>
      </c>
      <c r="W22" s="63" t="s">
        <v>31</v>
      </c>
      <c r="X22" s="11" t="s">
        <v>55</v>
      </c>
      <c r="Y22" s="11" t="s">
        <v>29</v>
      </c>
      <c r="Z22" s="10" t="s">
        <v>98</v>
      </c>
      <c r="AA22" s="64" t="s">
        <v>40</v>
      </c>
      <c r="AB22" s="10" t="s">
        <v>41</v>
      </c>
      <c r="AC22" s="10" t="s">
        <v>39</v>
      </c>
      <c r="AD22" s="10" t="s">
        <v>42</v>
      </c>
      <c r="AE22" s="10" t="s">
        <v>32</v>
      </c>
      <c r="AF22" s="203"/>
      <c r="AG22" s="213"/>
      <c r="AH22" s="215"/>
    </row>
    <row r="23" spans="1:34" ht="25.5">
      <c r="A23" s="12">
        <v>1</v>
      </c>
      <c r="B23" s="8" t="s">
        <v>65</v>
      </c>
      <c r="C23" s="13" t="s">
        <v>71</v>
      </c>
      <c r="D23" s="13" t="s">
        <v>54</v>
      </c>
      <c r="E23" s="67">
        <f>F23/18*J23*0.3</f>
        <v>7609.709999999999</v>
      </c>
      <c r="F23" s="14">
        <f aca="true" t="shared" si="0" ref="F23:F41">17697*H23</f>
        <v>76097.09999999999</v>
      </c>
      <c r="G23" s="12" t="s">
        <v>60</v>
      </c>
      <c r="H23" s="61">
        <v>4.3</v>
      </c>
      <c r="I23" s="15">
        <v>34</v>
      </c>
      <c r="J23" s="32">
        <v>6</v>
      </c>
      <c r="K23" s="33">
        <v>9</v>
      </c>
      <c r="L23" s="33"/>
      <c r="M23" s="33"/>
      <c r="N23" s="36">
        <f aca="true" t="shared" si="1" ref="N23:N41">SUM(K23/18*H23*17697)</f>
        <v>38048.549999999996</v>
      </c>
      <c r="O23" s="36">
        <f aca="true" t="shared" si="2" ref="O23:O41">SUM(L23/18*H23*17697)</f>
        <v>0</v>
      </c>
      <c r="P23" s="33">
        <f aca="true" t="shared" si="3" ref="P23:P41">SUM(M23/18*H23*17697)</f>
        <v>0</v>
      </c>
      <c r="Q23" s="36">
        <f>N23+O23</f>
        <v>38048.549999999996</v>
      </c>
      <c r="R23" s="36">
        <f>Q23*0.1</f>
        <v>3804.8549999999996</v>
      </c>
      <c r="S23" s="36">
        <f>(Q23+R23)*0.25</f>
        <v>10463.35125</v>
      </c>
      <c r="T23" s="36">
        <v>6</v>
      </c>
      <c r="U23" s="36">
        <f>SUM(17697/18*0.1*T23)</f>
        <v>589.9</v>
      </c>
      <c r="V23" s="36"/>
      <c r="W23" s="36">
        <f>SUM(17697/18*0.125*V23)</f>
        <v>0</v>
      </c>
      <c r="X23" s="36"/>
      <c r="Y23" s="36">
        <f>SUM(17697/18*0.1*X23)</f>
        <v>0</v>
      </c>
      <c r="Z23" s="33"/>
      <c r="AA23" s="33"/>
      <c r="AB23" s="33"/>
      <c r="AC23" s="33"/>
      <c r="AD23" s="33"/>
      <c r="AE23" s="33"/>
      <c r="AF23" s="66">
        <f>Q23+R23+S23+U23+W23+AA23</f>
        <v>52906.65625</v>
      </c>
      <c r="AG23" s="65">
        <f>E23+AF23</f>
        <v>60516.36625</v>
      </c>
      <c r="AH23" s="49"/>
    </row>
    <row r="24" spans="1:34" ht="12.75">
      <c r="A24" s="12"/>
      <c r="B24" s="8" t="s">
        <v>43</v>
      </c>
      <c r="C24" s="13" t="s">
        <v>66</v>
      </c>
      <c r="D24" s="13" t="s">
        <v>53</v>
      </c>
      <c r="E24" s="67">
        <f aca="true" t="shared" si="4" ref="E24:E41">+F24/18*J24*0.3</f>
        <v>1218.1435</v>
      </c>
      <c r="F24" s="14">
        <f t="shared" si="0"/>
        <v>73088.61</v>
      </c>
      <c r="G24" s="12" t="s">
        <v>61</v>
      </c>
      <c r="H24" s="61">
        <v>4.13</v>
      </c>
      <c r="I24" s="15">
        <v>28</v>
      </c>
      <c r="J24" s="32">
        <v>1</v>
      </c>
      <c r="K24" s="33"/>
      <c r="L24" s="33">
        <v>3</v>
      </c>
      <c r="M24" s="33"/>
      <c r="N24" s="36">
        <f t="shared" si="1"/>
        <v>0</v>
      </c>
      <c r="O24" s="36">
        <f t="shared" si="2"/>
        <v>12181.434999999998</v>
      </c>
      <c r="P24" s="33">
        <f t="shared" si="3"/>
        <v>0</v>
      </c>
      <c r="Q24" s="36">
        <f aca="true" t="shared" si="5" ref="Q24:Q41">N24+O24</f>
        <v>12181.434999999998</v>
      </c>
      <c r="R24" s="36">
        <f aca="true" t="shared" si="6" ref="R24:R41">Q24*0.1</f>
        <v>1218.1435</v>
      </c>
      <c r="S24" s="36">
        <f aca="true" t="shared" si="7" ref="S24:S41">(Q24+R24)*0.25</f>
        <v>3349.8946249999995</v>
      </c>
      <c r="T24" s="36"/>
      <c r="U24" s="36"/>
      <c r="V24" s="36">
        <v>3</v>
      </c>
      <c r="W24" s="36">
        <f>SUM(17697/18*0.125*V24)</f>
        <v>368.6875</v>
      </c>
      <c r="X24" s="36"/>
      <c r="Y24" s="36"/>
      <c r="Z24" s="33"/>
      <c r="AA24" s="33"/>
      <c r="AB24" s="33"/>
      <c r="AC24" s="33"/>
      <c r="AD24" s="33"/>
      <c r="AE24" s="33"/>
      <c r="AF24" s="66">
        <f aca="true" t="shared" si="8" ref="AF24:AF41">Q24+R24+S24+U24+W24+AA24</f>
        <v>17118.160624999997</v>
      </c>
      <c r="AG24" s="65">
        <f aca="true" t="shared" si="9" ref="AG24:AG41">E24+AF24</f>
        <v>18336.304124999995</v>
      </c>
      <c r="AH24" s="49"/>
    </row>
    <row r="25" spans="1:34" ht="25.5">
      <c r="A25" s="12">
        <v>2</v>
      </c>
      <c r="B25" s="8" t="s">
        <v>43</v>
      </c>
      <c r="C25" s="13" t="s">
        <v>57</v>
      </c>
      <c r="D25" s="13" t="s">
        <v>53</v>
      </c>
      <c r="E25" s="67">
        <f t="shared" si="4"/>
        <v>7308.861000000001</v>
      </c>
      <c r="F25" s="14">
        <f t="shared" si="0"/>
        <v>73088.61</v>
      </c>
      <c r="G25" s="12" t="s">
        <v>61</v>
      </c>
      <c r="H25" s="61">
        <v>4.13</v>
      </c>
      <c r="I25" s="15">
        <v>28</v>
      </c>
      <c r="J25" s="32">
        <v>6</v>
      </c>
      <c r="K25" s="33">
        <v>24</v>
      </c>
      <c r="L25" s="33"/>
      <c r="M25" s="33"/>
      <c r="N25" s="36">
        <f t="shared" si="1"/>
        <v>97451.47999999998</v>
      </c>
      <c r="O25" s="36">
        <f t="shared" si="2"/>
        <v>0</v>
      </c>
      <c r="P25" s="33">
        <f t="shared" si="3"/>
        <v>0</v>
      </c>
      <c r="Q25" s="36">
        <f t="shared" si="5"/>
        <v>97451.47999999998</v>
      </c>
      <c r="R25" s="36">
        <f t="shared" si="6"/>
        <v>9745.148</v>
      </c>
      <c r="S25" s="36">
        <f t="shared" si="7"/>
        <v>26799.156999999996</v>
      </c>
      <c r="T25" s="36">
        <v>15</v>
      </c>
      <c r="U25" s="36">
        <f>SUM(17697/18*0.1*T25)</f>
        <v>1474.75</v>
      </c>
      <c r="V25" s="36"/>
      <c r="W25" s="36">
        <f>SUM(17697/18*0.125*V25)</f>
        <v>0</v>
      </c>
      <c r="X25" s="36"/>
      <c r="Y25" s="36">
        <f>(17697)/18*0.1*X25</f>
        <v>0</v>
      </c>
      <c r="Z25" s="35">
        <v>0.125</v>
      </c>
      <c r="AA25" s="33">
        <v>2212</v>
      </c>
      <c r="AB25" s="33"/>
      <c r="AC25" s="33"/>
      <c r="AD25" s="33"/>
      <c r="AE25" s="33"/>
      <c r="AF25" s="66">
        <f t="shared" si="8"/>
        <v>137682.53499999997</v>
      </c>
      <c r="AG25" s="65">
        <f t="shared" si="9"/>
        <v>144991.39599999998</v>
      </c>
      <c r="AH25" s="49"/>
    </row>
    <row r="26" spans="1:34" ht="12.75">
      <c r="A26" s="12">
        <v>3</v>
      </c>
      <c r="B26" s="8" t="s">
        <v>67</v>
      </c>
      <c r="C26" s="8" t="s">
        <v>57</v>
      </c>
      <c r="D26" s="1" t="s">
        <v>53</v>
      </c>
      <c r="E26" s="67">
        <f t="shared" si="4"/>
        <v>21183.308999999997</v>
      </c>
      <c r="F26" s="14">
        <f t="shared" si="0"/>
        <v>70611.03</v>
      </c>
      <c r="G26" s="12" t="s">
        <v>61</v>
      </c>
      <c r="H26" s="61">
        <v>3.99</v>
      </c>
      <c r="I26" s="15">
        <v>18</v>
      </c>
      <c r="J26" s="32">
        <v>18</v>
      </c>
      <c r="K26" s="33">
        <v>18</v>
      </c>
      <c r="L26" s="33"/>
      <c r="M26" s="33"/>
      <c r="N26" s="36">
        <f t="shared" si="1"/>
        <v>70611.03</v>
      </c>
      <c r="O26" s="36">
        <f t="shared" si="2"/>
        <v>0</v>
      </c>
      <c r="P26" s="33">
        <f t="shared" si="3"/>
        <v>0</v>
      </c>
      <c r="Q26" s="36">
        <f t="shared" si="5"/>
        <v>70611.03</v>
      </c>
      <c r="R26" s="36">
        <f t="shared" si="6"/>
        <v>7061.103</v>
      </c>
      <c r="S26" s="36">
        <f t="shared" si="7"/>
        <v>19418.03325</v>
      </c>
      <c r="T26" s="36">
        <v>9</v>
      </c>
      <c r="U26" s="36">
        <f>SUM(17697/18*0.1*T26)</f>
        <v>884.8499999999999</v>
      </c>
      <c r="V26" s="36"/>
      <c r="W26" s="36">
        <f>SUM(17697/18*0.1*V26)</f>
        <v>0</v>
      </c>
      <c r="X26" s="36"/>
      <c r="Y26" s="36">
        <f>(8848)/18*0.1*X26</f>
        <v>0</v>
      </c>
      <c r="Z26" s="35">
        <v>0.125</v>
      </c>
      <c r="AA26" s="33">
        <v>2212</v>
      </c>
      <c r="AB26" s="33"/>
      <c r="AC26" s="33"/>
      <c r="AD26" s="33"/>
      <c r="AE26" s="33"/>
      <c r="AF26" s="66">
        <f t="shared" si="8"/>
        <v>100187.01625000002</v>
      </c>
      <c r="AG26" s="65">
        <f t="shared" si="9"/>
        <v>121370.32525000001</v>
      </c>
      <c r="AH26" s="49"/>
    </row>
    <row r="27" spans="1:34" ht="38.25">
      <c r="A27" s="12">
        <v>4</v>
      </c>
      <c r="B27" s="8" t="s">
        <v>80</v>
      </c>
      <c r="C27" s="13" t="s">
        <v>76</v>
      </c>
      <c r="D27" s="13" t="s">
        <v>81</v>
      </c>
      <c r="E27" s="67">
        <f t="shared" si="4"/>
        <v>8524.055</v>
      </c>
      <c r="F27" s="14">
        <f t="shared" si="0"/>
        <v>51144.33</v>
      </c>
      <c r="G27" s="12" t="s">
        <v>90</v>
      </c>
      <c r="H27" s="61">
        <v>2.89</v>
      </c>
      <c r="I27" s="15">
        <v>3</v>
      </c>
      <c r="J27" s="32">
        <v>10</v>
      </c>
      <c r="K27" s="33">
        <v>4</v>
      </c>
      <c r="L27" s="33">
        <v>14</v>
      </c>
      <c r="M27" s="33"/>
      <c r="N27" s="36">
        <f t="shared" si="1"/>
        <v>11365.406666666668</v>
      </c>
      <c r="O27" s="36">
        <f t="shared" si="2"/>
        <v>39778.92333333333</v>
      </c>
      <c r="P27" s="33">
        <f t="shared" si="3"/>
        <v>0</v>
      </c>
      <c r="Q27" s="36">
        <f t="shared" si="5"/>
        <v>51144.33</v>
      </c>
      <c r="R27" s="36">
        <f t="shared" si="6"/>
        <v>5114.433000000001</v>
      </c>
      <c r="S27" s="36">
        <f t="shared" si="7"/>
        <v>14064.690750000002</v>
      </c>
      <c r="T27" s="36"/>
      <c r="U27" s="36"/>
      <c r="V27" s="36">
        <v>3</v>
      </c>
      <c r="W27" s="36"/>
      <c r="X27" s="36"/>
      <c r="Y27" s="36">
        <f aca="true" t="shared" si="10" ref="Y27:Y41">(8848)/18*0.1*X27</f>
        <v>0</v>
      </c>
      <c r="Z27" s="33">
        <v>0.15</v>
      </c>
      <c r="AA27" s="33">
        <v>2655</v>
      </c>
      <c r="AB27" s="33"/>
      <c r="AC27" s="33"/>
      <c r="AD27" s="33"/>
      <c r="AE27" s="33"/>
      <c r="AF27" s="66">
        <f t="shared" si="8"/>
        <v>72978.45375000002</v>
      </c>
      <c r="AG27" s="65">
        <f t="shared" si="9"/>
        <v>81502.50875000001</v>
      </c>
      <c r="AH27" s="49"/>
    </row>
    <row r="28" spans="1:34" ht="25.5">
      <c r="A28" s="12">
        <v>5</v>
      </c>
      <c r="B28" s="8" t="s">
        <v>45</v>
      </c>
      <c r="C28" s="13" t="s">
        <v>91</v>
      </c>
      <c r="D28" s="13" t="s">
        <v>59</v>
      </c>
      <c r="E28" s="67">
        <f>+F28/18*J28*0.3</f>
        <v>10966.241</v>
      </c>
      <c r="F28" s="14">
        <f t="shared" si="0"/>
        <v>59815.86</v>
      </c>
      <c r="G28" s="12" t="s">
        <v>63</v>
      </c>
      <c r="H28" s="61">
        <v>3.38</v>
      </c>
      <c r="I28" s="15">
        <v>4</v>
      </c>
      <c r="J28" s="32">
        <v>11</v>
      </c>
      <c r="K28" s="33"/>
      <c r="L28" s="33">
        <v>18</v>
      </c>
      <c r="M28" s="33"/>
      <c r="N28" s="36">
        <f t="shared" si="1"/>
        <v>0</v>
      </c>
      <c r="O28" s="36">
        <f t="shared" si="2"/>
        <v>59815.86</v>
      </c>
      <c r="P28" s="33">
        <f t="shared" si="3"/>
        <v>0</v>
      </c>
      <c r="Q28" s="36">
        <f t="shared" si="5"/>
        <v>59815.86</v>
      </c>
      <c r="R28" s="36">
        <f t="shared" si="6"/>
        <v>5981.586</v>
      </c>
      <c r="S28" s="36">
        <f t="shared" si="7"/>
        <v>16449.3615</v>
      </c>
      <c r="T28" s="36"/>
      <c r="U28" s="36"/>
      <c r="V28" s="36"/>
      <c r="W28" s="36"/>
      <c r="X28" s="36"/>
      <c r="Y28" s="36">
        <f t="shared" si="10"/>
        <v>0</v>
      </c>
      <c r="Z28" s="33">
        <v>0.15</v>
      </c>
      <c r="AA28" s="33">
        <v>2655</v>
      </c>
      <c r="AB28" s="33"/>
      <c r="AC28" s="33"/>
      <c r="AD28" s="33"/>
      <c r="AE28" s="33"/>
      <c r="AF28" s="66">
        <f t="shared" si="8"/>
        <v>84901.8075</v>
      </c>
      <c r="AG28" s="65">
        <f t="shared" si="9"/>
        <v>95868.04849999999</v>
      </c>
      <c r="AH28" s="49"/>
    </row>
    <row r="29" spans="1:34" ht="25.5">
      <c r="A29" s="12">
        <v>6</v>
      </c>
      <c r="B29" s="8" t="s">
        <v>82</v>
      </c>
      <c r="C29" s="13" t="s">
        <v>47</v>
      </c>
      <c r="D29" s="13" t="s">
        <v>56</v>
      </c>
      <c r="E29" s="67">
        <f t="shared" si="4"/>
        <v>2536.5699999999993</v>
      </c>
      <c r="F29" s="14">
        <f t="shared" si="0"/>
        <v>76097.09999999999</v>
      </c>
      <c r="G29" s="12" t="s">
        <v>60</v>
      </c>
      <c r="H29" s="61">
        <v>4.3</v>
      </c>
      <c r="I29" s="15">
        <v>40</v>
      </c>
      <c r="J29" s="32">
        <v>2</v>
      </c>
      <c r="K29" s="33"/>
      <c r="L29" s="33">
        <v>4</v>
      </c>
      <c r="M29" s="33"/>
      <c r="N29" s="36">
        <f t="shared" si="1"/>
        <v>0</v>
      </c>
      <c r="O29" s="36">
        <f t="shared" si="2"/>
        <v>16910.466666666667</v>
      </c>
      <c r="P29" s="33">
        <f t="shared" si="3"/>
        <v>0</v>
      </c>
      <c r="Q29" s="36">
        <f t="shared" si="5"/>
        <v>16910.466666666667</v>
      </c>
      <c r="R29" s="36">
        <f t="shared" si="6"/>
        <v>1691.0466666666669</v>
      </c>
      <c r="S29" s="36">
        <f t="shared" si="7"/>
        <v>4650.378333333333</v>
      </c>
      <c r="T29" s="36"/>
      <c r="U29" s="36">
        <f>SUM(17697/18*0.1*T29)</f>
        <v>0</v>
      </c>
      <c r="V29" s="36">
        <v>4</v>
      </c>
      <c r="W29" s="36">
        <f>SUM(17697/18*0.1*V29)</f>
        <v>393.26666666666665</v>
      </c>
      <c r="X29" s="36"/>
      <c r="Y29" s="36">
        <f t="shared" si="10"/>
        <v>0</v>
      </c>
      <c r="Z29" s="33"/>
      <c r="AA29" s="33"/>
      <c r="AB29" s="33"/>
      <c r="AC29" s="33"/>
      <c r="AD29" s="33"/>
      <c r="AE29" s="33"/>
      <c r="AF29" s="66">
        <f t="shared" si="8"/>
        <v>23645.158333333333</v>
      </c>
      <c r="AG29" s="65">
        <f t="shared" si="9"/>
        <v>26181.728333333333</v>
      </c>
      <c r="AH29" s="49"/>
    </row>
    <row r="30" spans="1:34" ht="12.75">
      <c r="A30" s="12">
        <v>7</v>
      </c>
      <c r="B30" s="8" t="s">
        <v>46</v>
      </c>
      <c r="C30" s="13" t="s">
        <v>69</v>
      </c>
      <c r="D30" s="13" t="s">
        <v>68</v>
      </c>
      <c r="E30" s="67">
        <f t="shared" si="4"/>
        <v>11963.172</v>
      </c>
      <c r="F30" s="14">
        <f t="shared" si="0"/>
        <v>59815.86</v>
      </c>
      <c r="G30" s="12" t="s">
        <v>63</v>
      </c>
      <c r="H30" s="61">
        <v>3.38</v>
      </c>
      <c r="I30" s="15">
        <v>4</v>
      </c>
      <c r="J30" s="32">
        <v>12</v>
      </c>
      <c r="K30" s="33">
        <v>9</v>
      </c>
      <c r="L30" s="33">
        <v>9</v>
      </c>
      <c r="M30" s="33"/>
      <c r="N30" s="36">
        <f t="shared" si="1"/>
        <v>29907.93</v>
      </c>
      <c r="O30" s="36">
        <f t="shared" si="2"/>
        <v>29907.93</v>
      </c>
      <c r="P30" s="33">
        <f t="shared" si="3"/>
        <v>0</v>
      </c>
      <c r="Q30" s="36">
        <f t="shared" si="5"/>
        <v>59815.86</v>
      </c>
      <c r="R30" s="36">
        <f t="shared" si="6"/>
        <v>5981.586</v>
      </c>
      <c r="S30" s="36">
        <f t="shared" si="7"/>
        <v>16449.3615</v>
      </c>
      <c r="T30" s="36"/>
      <c r="U30" s="36">
        <f aca="true" t="shared" si="11" ref="U30:U41">SUM(17697/18*0.1*T30)</f>
        <v>0</v>
      </c>
      <c r="V30" s="36"/>
      <c r="W30" s="36">
        <f aca="true" t="shared" si="12" ref="W30:W41">SUM(17697/18*0.1*V30)</f>
        <v>0</v>
      </c>
      <c r="X30" s="36"/>
      <c r="Y30" s="36">
        <f t="shared" si="10"/>
        <v>0</v>
      </c>
      <c r="Z30" s="33"/>
      <c r="AA30" s="33"/>
      <c r="AB30" s="33"/>
      <c r="AC30" s="33"/>
      <c r="AD30" s="33"/>
      <c r="AE30" s="33"/>
      <c r="AF30" s="66">
        <f t="shared" si="8"/>
        <v>82246.8075</v>
      </c>
      <c r="AG30" s="65">
        <f t="shared" si="9"/>
        <v>94209.9795</v>
      </c>
      <c r="AH30" s="49"/>
    </row>
    <row r="31" spans="1:34" ht="25.5">
      <c r="A31" s="12">
        <v>8</v>
      </c>
      <c r="B31" s="8" t="s">
        <v>97</v>
      </c>
      <c r="C31" s="13" t="s">
        <v>57</v>
      </c>
      <c r="D31" s="13" t="s">
        <v>92</v>
      </c>
      <c r="E31" s="67">
        <f t="shared" si="4"/>
        <v>11609.231999999998</v>
      </c>
      <c r="F31" s="14">
        <f t="shared" si="0"/>
        <v>58046.159999999996</v>
      </c>
      <c r="G31" s="12" t="s">
        <v>63</v>
      </c>
      <c r="H31" s="61">
        <v>3.28</v>
      </c>
      <c r="I31" s="15">
        <v>0</v>
      </c>
      <c r="J31" s="32">
        <v>12</v>
      </c>
      <c r="K31" s="33">
        <v>11</v>
      </c>
      <c r="L31" s="33">
        <v>3</v>
      </c>
      <c r="M31" s="33"/>
      <c r="N31" s="36">
        <f t="shared" si="1"/>
        <v>35472.653333333335</v>
      </c>
      <c r="O31" s="36">
        <f t="shared" si="2"/>
        <v>9674.359999999999</v>
      </c>
      <c r="P31" s="33">
        <f t="shared" si="3"/>
        <v>0</v>
      </c>
      <c r="Q31" s="36">
        <f t="shared" si="5"/>
        <v>45147.013333333336</v>
      </c>
      <c r="R31" s="36">
        <f t="shared" si="6"/>
        <v>4514.701333333333</v>
      </c>
      <c r="S31" s="36">
        <f t="shared" si="7"/>
        <v>12415.428666666667</v>
      </c>
      <c r="T31" s="36">
        <v>4</v>
      </c>
      <c r="U31" s="36">
        <f>SUM(17697/18*0.1*T31)</f>
        <v>393.26666666666665</v>
      </c>
      <c r="V31" s="36"/>
      <c r="W31" s="36"/>
      <c r="X31" s="36"/>
      <c r="Y31" s="36"/>
      <c r="Z31" s="33"/>
      <c r="AA31" s="33"/>
      <c r="AB31" s="33"/>
      <c r="AC31" s="33"/>
      <c r="AD31" s="33"/>
      <c r="AE31" s="33"/>
      <c r="AF31" s="66">
        <f t="shared" si="8"/>
        <v>62470.41</v>
      </c>
      <c r="AG31" s="65">
        <f t="shared" si="9"/>
        <v>74079.642</v>
      </c>
      <c r="AH31" s="49"/>
    </row>
    <row r="32" spans="1:34" ht="25.5">
      <c r="A32" s="12"/>
      <c r="B32" s="8"/>
      <c r="C32" s="48" t="s">
        <v>102</v>
      </c>
      <c r="D32" s="13" t="s">
        <v>92</v>
      </c>
      <c r="E32" s="67">
        <v>0</v>
      </c>
      <c r="F32" s="14">
        <f t="shared" si="0"/>
        <v>49020.69</v>
      </c>
      <c r="G32" s="12" t="s">
        <v>101</v>
      </c>
      <c r="H32" s="61">
        <v>2.77</v>
      </c>
      <c r="I32" s="15">
        <v>0</v>
      </c>
      <c r="J32" s="32"/>
      <c r="K32" s="33"/>
      <c r="L32" s="33"/>
      <c r="M32" s="33"/>
      <c r="N32" s="36">
        <v>0</v>
      </c>
      <c r="O32" s="36">
        <v>0</v>
      </c>
      <c r="P32" s="33">
        <f t="shared" si="3"/>
        <v>0</v>
      </c>
      <c r="Q32" s="36">
        <f>F32*0.5</f>
        <v>24510.345</v>
      </c>
      <c r="R32" s="36">
        <f t="shared" si="6"/>
        <v>2451.0345</v>
      </c>
      <c r="S32" s="36">
        <f t="shared" si="7"/>
        <v>6740.344875000001</v>
      </c>
      <c r="T32" s="36"/>
      <c r="U32" s="36"/>
      <c r="V32" s="36"/>
      <c r="W32" s="36"/>
      <c r="X32" s="36"/>
      <c r="Y32" s="36"/>
      <c r="Z32" s="33"/>
      <c r="AA32" s="33"/>
      <c r="AB32" s="33"/>
      <c r="AC32" s="33"/>
      <c r="AD32" s="33"/>
      <c r="AE32" s="33"/>
      <c r="AF32" s="66">
        <f t="shared" si="8"/>
        <v>33701.724375000005</v>
      </c>
      <c r="AG32" s="65">
        <f t="shared" si="9"/>
        <v>33701.724375000005</v>
      </c>
      <c r="AH32" s="60"/>
    </row>
    <row r="33" spans="1:34" ht="25.5">
      <c r="A33" s="40">
        <v>9</v>
      </c>
      <c r="B33" s="41" t="s">
        <v>44</v>
      </c>
      <c r="C33" s="42" t="s">
        <v>103</v>
      </c>
      <c r="D33" s="42" t="s">
        <v>75</v>
      </c>
      <c r="E33" s="68">
        <f t="shared" si="4"/>
        <v>0</v>
      </c>
      <c r="F33" s="43">
        <f t="shared" si="0"/>
        <v>56453.43</v>
      </c>
      <c r="G33" s="40" t="s">
        <v>62</v>
      </c>
      <c r="H33" s="61">
        <v>3.19</v>
      </c>
      <c r="I33" s="44">
        <v>20</v>
      </c>
      <c r="J33" s="45"/>
      <c r="K33" s="46">
        <v>24</v>
      </c>
      <c r="L33" s="46"/>
      <c r="M33" s="46"/>
      <c r="N33" s="47">
        <f>SUM(K33/18*H33*17697)/2</f>
        <v>37635.619999999995</v>
      </c>
      <c r="O33" s="47">
        <f t="shared" si="2"/>
        <v>0</v>
      </c>
      <c r="P33" s="46">
        <f t="shared" si="3"/>
        <v>0</v>
      </c>
      <c r="Q33" s="36">
        <f t="shared" si="5"/>
        <v>37635.619999999995</v>
      </c>
      <c r="R33" s="36">
        <f t="shared" si="6"/>
        <v>3763.562</v>
      </c>
      <c r="S33" s="36">
        <f t="shared" si="7"/>
        <v>10349.795499999998</v>
      </c>
      <c r="T33" s="47"/>
      <c r="U33" s="47">
        <f t="shared" si="11"/>
        <v>0</v>
      </c>
      <c r="V33" s="47"/>
      <c r="W33" s="47">
        <f t="shared" si="12"/>
        <v>0</v>
      </c>
      <c r="X33" s="47"/>
      <c r="Y33" s="47">
        <f t="shared" si="10"/>
        <v>0</v>
      </c>
      <c r="Z33" s="46">
        <v>0.15</v>
      </c>
      <c r="AA33" s="46">
        <v>2655</v>
      </c>
      <c r="AB33" s="46"/>
      <c r="AC33" s="46"/>
      <c r="AD33" s="46"/>
      <c r="AE33" s="46"/>
      <c r="AF33" s="66">
        <f t="shared" si="8"/>
        <v>54403.97749999999</v>
      </c>
      <c r="AG33" s="65">
        <f t="shared" si="9"/>
        <v>54403.97749999999</v>
      </c>
      <c r="AH33" s="50"/>
    </row>
    <row r="34" spans="1:34" ht="12.75">
      <c r="A34" s="12"/>
      <c r="B34" s="8" t="s">
        <v>51</v>
      </c>
      <c r="C34" s="13" t="s">
        <v>77</v>
      </c>
      <c r="D34" s="13" t="s">
        <v>68</v>
      </c>
      <c r="E34" s="67">
        <f t="shared" si="4"/>
        <v>9674.359999999999</v>
      </c>
      <c r="F34" s="14">
        <f t="shared" si="0"/>
        <v>58046.159999999996</v>
      </c>
      <c r="G34" s="12" t="s">
        <v>63</v>
      </c>
      <c r="H34" s="8">
        <v>3.28</v>
      </c>
      <c r="I34" s="15">
        <v>5</v>
      </c>
      <c r="J34" s="32">
        <v>10</v>
      </c>
      <c r="K34" s="33">
        <v>5</v>
      </c>
      <c r="L34" s="33">
        <v>8</v>
      </c>
      <c r="M34" s="33"/>
      <c r="N34" s="36">
        <f t="shared" si="1"/>
        <v>16123.933333333332</v>
      </c>
      <c r="O34" s="36">
        <f t="shared" si="2"/>
        <v>25798.29333333333</v>
      </c>
      <c r="P34" s="33">
        <f t="shared" si="3"/>
        <v>0</v>
      </c>
      <c r="Q34" s="36">
        <f t="shared" si="5"/>
        <v>41922.22666666666</v>
      </c>
      <c r="R34" s="36">
        <f t="shared" si="6"/>
        <v>4192.222666666667</v>
      </c>
      <c r="S34" s="36">
        <f t="shared" si="7"/>
        <v>11528.612333333333</v>
      </c>
      <c r="T34" s="36">
        <v>5</v>
      </c>
      <c r="U34" s="36">
        <f t="shared" si="11"/>
        <v>491.5833333333333</v>
      </c>
      <c r="V34" s="36">
        <v>8</v>
      </c>
      <c r="W34" s="36">
        <f t="shared" si="12"/>
        <v>786.5333333333333</v>
      </c>
      <c r="X34" s="36"/>
      <c r="Y34" s="36">
        <f t="shared" si="10"/>
        <v>0</v>
      </c>
      <c r="Z34" s="33"/>
      <c r="AA34" s="33"/>
      <c r="AB34" s="33"/>
      <c r="AC34" s="33"/>
      <c r="AD34" s="33"/>
      <c r="AE34" s="33"/>
      <c r="AF34" s="66">
        <f t="shared" si="8"/>
        <v>58921.17833333333</v>
      </c>
      <c r="AG34" s="65">
        <f t="shared" si="9"/>
        <v>68595.53833333333</v>
      </c>
      <c r="AH34" s="49"/>
    </row>
    <row r="35" spans="1:34" ht="12.75">
      <c r="A35" s="12"/>
      <c r="B35" s="8" t="s">
        <v>70</v>
      </c>
      <c r="C35" s="13" t="s">
        <v>78</v>
      </c>
      <c r="D35" s="13" t="s">
        <v>68</v>
      </c>
      <c r="E35" s="67">
        <f t="shared" si="4"/>
        <v>5804.615999999999</v>
      </c>
      <c r="F35" s="14">
        <f t="shared" si="0"/>
        <v>58046.159999999996</v>
      </c>
      <c r="G35" s="12" t="s">
        <v>63</v>
      </c>
      <c r="H35" s="8">
        <v>3.28</v>
      </c>
      <c r="I35" s="15">
        <v>5</v>
      </c>
      <c r="J35" s="32">
        <v>6</v>
      </c>
      <c r="K35" s="33"/>
      <c r="L35" s="33">
        <v>9</v>
      </c>
      <c r="M35" s="33"/>
      <c r="N35" s="36">
        <f t="shared" si="1"/>
        <v>0</v>
      </c>
      <c r="O35" s="36">
        <f t="shared" si="2"/>
        <v>29023.079999999998</v>
      </c>
      <c r="P35" s="33">
        <f t="shared" si="3"/>
        <v>0</v>
      </c>
      <c r="Q35" s="36">
        <f t="shared" si="5"/>
        <v>29023.079999999998</v>
      </c>
      <c r="R35" s="36">
        <f t="shared" si="6"/>
        <v>2902.308</v>
      </c>
      <c r="S35" s="36">
        <f t="shared" si="7"/>
        <v>7981.347</v>
      </c>
      <c r="T35" s="36"/>
      <c r="U35" s="36">
        <f t="shared" si="11"/>
        <v>0</v>
      </c>
      <c r="V35" s="36">
        <v>8</v>
      </c>
      <c r="W35" s="36">
        <f t="shared" si="12"/>
        <v>786.5333333333333</v>
      </c>
      <c r="X35" s="36"/>
      <c r="Y35" s="36">
        <f t="shared" si="10"/>
        <v>0</v>
      </c>
      <c r="Z35" s="33"/>
      <c r="AA35" s="33"/>
      <c r="AB35" s="33"/>
      <c r="AC35" s="33"/>
      <c r="AD35" s="33"/>
      <c r="AE35" s="33"/>
      <c r="AF35" s="66">
        <f t="shared" si="8"/>
        <v>40693.26833333333</v>
      </c>
      <c r="AG35" s="65">
        <f t="shared" si="9"/>
        <v>46497.884333333335</v>
      </c>
      <c r="AH35" s="49"/>
    </row>
    <row r="36" spans="1:34" ht="12.75">
      <c r="A36" s="12"/>
      <c r="B36" s="8" t="s">
        <v>50</v>
      </c>
      <c r="C36" s="13" t="s">
        <v>79</v>
      </c>
      <c r="D36" s="13" t="s">
        <v>68</v>
      </c>
      <c r="E36" s="67">
        <f t="shared" si="4"/>
        <v>1934.8719999999998</v>
      </c>
      <c r="F36" s="14">
        <f t="shared" si="0"/>
        <v>58046.159999999996</v>
      </c>
      <c r="G36" s="12" t="s">
        <v>63</v>
      </c>
      <c r="H36" s="8">
        <v>3.28</v>
      </c>
      <c r="I36" s="15">
        <v>5</v>
      </c>
      <c r="J36" s="32">
        <v>2</v>
      </c>
      <c r="K36" s="33"/>
      <c r="L36" s="33">
        <v>4</v>
      </c>
      <c r="M36" s="33"/>
      <c r="N36" s="36">
        <f t="shared" si="1"/>
        <v>0</v>
      </c>
      <c r="O36" s="36">
        <f t="shared" si="2"/>
        <v>12899.146666666666</v>
      </c>
      <c r="P36" s="33">
        <f t="shared" si="3"/>
        <v>0</v>
      </c>
      <c r="Q36" s="36">
        <f t="shared" si="5"/>
        <v>12899.146666666666</v>
      </c>
      <c r="R36" s="36">
        <f t="shared" si="6"/>
        <v>1289.9146666666666</v>
      </c>
      <c r="S36" s="36">
        <f t="shared" si="7"/>
        <v>3547.265333333333</v>
      </c>
      <c r="T36" s="36"/>
      <c r="U36" s="36">
        <f t="shared" si="11"/>
        <v>0</v>
      </c>
      <c r="V36" s="36">
        <v>4</v>
      </c>
      <c r="W36" s="36">
        <f t="shared" si="12"/>
        <v>393.26666666666665</v>
      </c>
      <c r="X36" s="36"/>
      <c r="Y36" s="36">
        <f t="shared" si="10"/>
        <v>0</v>
      </c>
      <c r="Z36" s="33"/>
      <c r="AA36" s="33"/>
      <c r="AB36" s="33"/>
      <c r="AC36" s="33"/>
      <c r="AD36" s="33"/>
      <c r="AE36" s="33"/>
      <c r="AF36" s="66">
        <f t="shared" si="8"/>
        <v>18129.59333333333</v>
      </c>
      <c r="AG36" s="65">
        <f t="shared" si="9"/>
        <v>20064.46533333333</v>
      </c>
      <c r="AH36" s="49"/>
    </row>
    <row r="37" spans="1:34" ht="25.5">
      <c r="A37" s="12"/>
      <c r="B37" s="8" t="s">
        <v>93</v>
      </c>
      <c r="C37" s="13" t="s">
        <v>94</v>
      </c>
      <c r="D37" s="13" t="s">
        <v>53</v>
      </c>
      <c r="E37" s="67">
        <f t="shared" si="4"/>
        <v>6600.981</v>
      </c>
      <c r="F37" s="14">
        <f t="shared" si="0"/>
        <v>66009.81</v>
      </c>
      <c r="G37" s="12" t="s">
        <v>61</v>
      </c>
      <c r="H37" s="8">
        <v>3.73</v>
      </c>
      <c r="I37" s="15">
        <v>5</v>
      </c>
      <c r="J37" s="32">
        <v>6</v>
      </c>
      <c r="K37" s="33"/>
      <c r="L37" s="33">
        <v>7</v>
      </c>
      <c r="M37" s="33"/>
      <c r="N37" s="36">
        <f t="shared" si="1"/>
        <v>0</v>
      </c>
      <c r="O37" s="36">
        <f t="shared" si="2"/>
        <v>25670.481666666667</v>
      </c>
      <c r="P37" s="33">
        <f t="shared" si="3"/>
        <v>0</v>
      </c>
      <c r="Q37" s="36">
        <f t="shared" si="5"/>
        <v>25670.481666666667</v>
      </c>
      <c r="R37" s="36">
        <f t="shared" si="6"/>
        <v>2567.048166666667</v>
      </c>
      <c r="S37" s="36">
        <f t="shared" si="7"/>
        <v>7059.3824583333335</v>
      </c>
      <c r="T37" s="36"/>
      <c r="U37" s="36">
        <f t="shared" si="11"/>
        <v>0</v>
      </c>
      <c r="V37" s="36">
        <v>7</v>
      </c>
      <c r="W37" s="36">
        <f t="shared" si="12"/>
        <v>688.2166666666667</v>
      </c>
      <c r="X37" s="36"/>
      <c r="Y37" s="36">
        <f t="shared" si="10"/>
        <v>0</v>
      </c>
      <c r="Z37" s="33">
        <v>0.15</v>
      </c>
      <c r="AA37" s="33">
        <v>2655</v>
      </c>
      <c r="AB37" s="33"/>
      <c r="AC37" s="33"/>
      <c r="AD37" s="33"/>
      <c r="AE37" s="33"/>
      <c r="AF37" s="66">
        <f t="shared" si="8"/>
        <v>38640.128958333335</v>
      </c>
      <c r="AG37" s="65">
        <f t="shared" si="9"/>
        <v>45241.109958333334</v>
      </c>
      <c r="AH37" s="49"/>
    </row>
    <row r="38" spans="1:34" ht="25.5">
      <c r="A38" s="12"/>
      <c r="B38" s="8" t="s">
        <v>86</v>
      </c>
      <c r="C38" s="13" t="s">
        <v>87</v>
      </c>
      <c r="D38" s="13" t="s">
        <v>75</v>
      </c>
      <c r="E38" s="67">
        <f t="shared" si="4"/>
        <v>5645.343</v>
      </c>
      <c r="F38" s="14">
        <f t="shared" si="0"/>
        <v>56453.43</v>
      </c>
      <c r="G38" s="12" t="s">
        <v>62</v>
      </c>
      <c r="H38" s="8">
        <v>3.19</v>
      </c>
      <c r="I38" s="15">
        <v>40</v>
      </c>
      <c r="J38" s="32">
        <v>6</v>
      </c>
      <c r="K38" s="33"/>
      <c r="L38" s="33">
        <v>10</v>
      </c>
      <c r="M38" s="33"/>
      <c r="N38" s="36">
        <f t="shared" si="1"/>
        <v>0</v>
      </c>
      <c r="O38" s="36">
        <f t="shared" si="2"/>
        <v>31363.01666666667</v>
      </c>
      <c r="P38" s="33">
        <f t="shared" si="3"/>
        <v>0</v>
      </c>
      <c r="Q38" s="36">
        <f t="shared" si="5"/>
        <v>31363.01666666667</v>
      </c>
      <c r="R38" s="36">
        <f t="shared" si="6"/>
        <v>3136.301666666667</v>
      </c>
      <c r="S38" s="36">
        <f t="shared" si="7"/>
        <v>8624.829583333334</v>
      </c>
      <c r="T38" s="36"/>
      <c r="U38" s="36">
        <f t="shared" si="11"/>
        <v>0</v>
      </c>
      <c r="V38" s="36">
        <v>2</v>
      </c>
      <c r="W38" s="36">
        <f t="shared" si="12"/>
        <v>196.63333333333333</v>
      </c>
      <c r="X38" s="36"/>
      <c r="Y38" s="36">
        <f t="shared" si="10"/>
        <v>0</v>
      </c>
      <c r="Z38" s="33"/>
      <c r="AA38" s="33"/>
      <c r="AB38" s="33"/>
      <c r="AC38" s="33"/>
      <c r="AD38" s="33"/>
      <c r="AE38" s="33"/>
      <c r="AF38" s="66">
        <f t="shared" si="8"/>
        <v>43320.78125</v>
      </c>
      <c r="AG38" s="65">
        <f t="shared" si="9"/>
        <v>48966.12425</v>
      </c>
      <c r="AH38" s="49"/>
    </row>
    <row r="39" spans="1:34" ht="38.25">
      <c r="A39" s="12"/>
      <c r="B39" s="8" t="s">
        <v>84</v>
      </c>
      <c r="C39" s="13" t="s">
        <v>85</v>
      </c>
      <c r="D39" s="13" t="s">
        <v>81</v>
      </c>
      <c r="E39" s="67">
        <f t="shared" si="4"/>
        <v>840.6075</v>
      </c>
      <c r="F39" s="14">
        <f t="shared" si="0"/>
        <v>50436.450000000004</v>
      </c>
      <c r="G39" s="12" t="s">
        <v>90</v>
      </c>
      <c r="H39" s="8">
        <v>2.85</v>
      </c>
      <c r="I39" s="15">
        <v>20</v>
      </c>
      <c r="J39" s="32">
        <v>1</v>
      </c>
      <c r="K39" s="33"/>
      <c r="L39" s="33">
        <v>1</v>
      </c>
      <c r="M39" s="33"/>
      <c r="N39" s="36">
        <f t="shared" si="1"/>
        <v>0</v>
      </c>
      <c r="O39" s="36">
        <f t="shared" si="2"/>
        <v>2802.025</v>
      </c>
      <c r="P39" s="33">
        <f t="shared" si="3"/>
        <v>0</v>
      </c>
      <c r="Q39" s="36">
        <f t="shared" si="5"/>
        <v>2802.025</v>
      </c>
      <c r="R39" s="36">
        <f t="shared" si="6"/>
        <v>280.20250000000004</v>
      </c>
      <c r="S39" s="36">
        <f t="shared" si="7"/>
        <v>770.556875</v>
      </c>
      <c r="T39" s="36"/>
      <c r="U39" s="36">
        <f t="shared" si="11"/>
        <v>0</v>
      </c>
      <c r="V39" s="36"/>
      <c r="W39" s="36">
        <f t="shared" si="12"/>
        <v>0</v>
      </c>
      <c r="X39" s="36"/>
      <c r="Y39" s="36">
        <f t="shared" si="10"/>
        <v>0</v>
      </c>
      <c r="Z39" s="33"/>
      <c r="AA39" s="33"/>
      <c r="AB39" s="33"/>
      <c r="AC39" s="33"/>
      <c r="AD39" s="33"/>
      <c r="AE39" s="33"/>
      <c r="AF39" s="66">
        <f t="shared" si="8"/>
        <v>3852.784375</v>
      </c>
      <c r="AG39" s="65">
        <f t="shared" si="9"/>
        <v>4693.391875</v>
      </c>
      <c r="AH39" s="49"/>
    </row>
    <row r="40" spans="1:34" ht="25.5">
      <c r="A40" s="12"/>
      <c r="B40" s="8" t="s">
        <v>48</v>
      </c>
      <c r="C40" s="13" t="s">
        <v>72</v>
      </c>
      <c r="D40" s="13" t="s">
        <v>56</v>
      </c>
      <c r="E40" s="67">
        <f t="shared" si="4"/>
        <v>12476.385000000004</v>
      </c>
      <c r="F40" s="14">
        <f t="shared" si="0"/>
        <v>74858.31000000001</v>
      </c>
      <c r="G40" s="12" t="s">
        <v>60</v>
      </c>
      <c r="H40" s="8">
        <v>4.23</v>
      </c>
      <c r="I40" s="15">
        <v>20</v>
      </c>
      <c r="J40" s="32">
        <v>10</v>
      </c>
      <c r="K40" s="33"/>
      <c r="L40" s="33">
        <v>15</v>
      </c>
      <c r="M40" s="33"/>
      <c r="N40" s="36">
        <f t="shared" si="1"/>
        <v>0</v>
      </c>
      <c r="O40" s="36">
        <f t="shared" si="2"/>
        <v>62381.925</v>
      </c>
      <c r="P40" s="33">
        <f t="shared" si="3"/>
        <v>0</v>
      </c>
      <c r="Q40" s="36">
        <f t="shared" si="5"/>
        <v>62381.925</v>
      </c>
      <c r="R40" s="36">
        <f t="shared" si="6"/>
        <v>6238.192500000001</v>
      </c>
      <c r="S40" s="36">
        <f t="shared" si="7"/>
        <v>17155.029375000002</v>
      </c>
      <c r="T40" s="36">
        <v>0</v>
      </c>
      <c r="U40" s="36">
        <f t="shared" si="11"/>
        <v>0</v>
      </c>
      <c r="V40" s="36">
        <v>15</v>
      </c>
      <c r="W40" s="36">
        <f t="shared" si="12"/>
        <v>1474.75</v>
      </c>
      <c r="X40" s="36"/>
      <c r="Y40" s="36">
        <f t="shared" si="10"/>
        <v>0</v>
      </c>
      <c r="Z40" s="33"/>
      <c r="AA40" s="33"/>
      <c r="AB40" s="33"/>
      <c r="AC40" s="33"/>
      <c r="AD40" s="33"/>
      <c r="AE40" s="33"/>
      <c r="AF40" s="66">
        <f t="shared" si="8"/>
        <v>87249.896875</v>
      </c>
      <c r="AG40" s="65">
        <f t="shared" si="9"/>
        <v>99726.28187500002</v>
      </c>
      <c r="AH40" s="49"/>
    </row>
    <row r="41" spans="1:34" ht="26.25" thickBot="1">
      <c r="A41" s="12"/>
      <c r="B41" s="8" t="s">
        <v>49</v>
      </c>
      <c r="C41" s="13" t="s">
        <v>83</v>
      </c>
      <c r="D41" s="13" t="s">
        <v>68</v>
      </c>
      <c r="E41" s="67">
        <f t="shared" si="4"/>
        <v>3869.7439999999997</v>
      </c>
      <c r="F41" s="14">
        <f t="shared" si="0"/>
        <v>58046.159999999996</v>
      </c>
      <c r="G41" s="12" t="s">
        <v>63</v>
      </c>
      <c r="H41" s="8">
        <v>3.28</v>
      </c>
      <c r="I41" s="15">
        <v>20</v>
      </c>
      <c r="J41" s="32">
        <v>4</v>
      </c>
      <c r="K41" s="33">
        <v>2</v>
      </c>
      <c r="L41" s="33">
        <v>4</v>
      </c>
      <c r="M41" s="33"/>
      <c r="N41" s="36">
        <f t="shared" si="1"/>
        <v>6449.573333333333</v>
      </c>
      <c r="O41" s="36">
        <f t="shared" si="2"/>
        <v>12899.146666666666</v>
      </c>
      <c r="P41" s="33">
        <f t="shared" si="3"/>
        <v>0</v>
      </c>
      <c r="Q41" s="36">
        <f t="shared" si="5"/>
        <v>19348.719999999998</v>
      </c>
      <c r="R41" s="36">
        <f t="shared" si="6"/>
        <v>1934.8719999999998</v>
      </c>
      <c r="S41" s="36">
        <f t="shared" si="7"/>
        <v>5320.897999999999</v>
      </c>
      <c r="T41" s="36"/>
      <c r="U41" s="36">
        <f t="shared" si="11"/>
        <v>0</v>
      </c>
      <c r="V41" s="36"/>
      <c r="W41" s="36">
        <f t="shared" si="12"/>
        <v>0</v>
      </c>
      <c r="X41" s="36"/>
      <c r="Y41" s="36">
        <f t="shared" si="10"/>
        <v>0</v>
      </c>
      <c r="Z41" s="33"/>
      <c r="AA41" s="33"/>
      <c r="AB41" s="33"/>
      <c r="AC41" s="33"/>
      <c r="AD41" s="33"/>
      <c r="AE41" s="33"/>
      <c r="AF41" s="66">
        <f t="shared" si="8"/>
        <v>26604.489999999998</v>
      </c>
      <c r="AG41" s="65">
        <f t="shared" si="9"/>
        <v>30474.233999999997</v>
      </c>
      <c r="AH41" s="49"/>
    </row>
    <row r="42" spans="1:34" ht="13.5" thickBot="1">
      <c r="A42" s="16"/>
      <c r="B42" s="16" t="s">
        <v>16</v>
      </c>
      <c r="C42" s="16"/>
      <c r="D42" s="16"/>
      <c r="E42" s="17">
        <f>SUM(E23:E41)</f>
        <v>129766.202</v>
      </c>
      <c r="F42" s="17"/>
      <c r="G42" s="16"/>
      <c r="H42" s="16"/>
      <c r="I42" s="16"/>
      <c r="J42" s="17">
        <v>123</v>
      </c>
      <c r="K42" s="17">
        <f>SUM(K23:K41)</f>
        <v>106</v>
      </c>
      <c r="L42" s="34">
        <v>109</v>
      </c>
      <c r="M42" s="34">
        <f aca="true" t="shared" si="13" ref="M42:U42">SUM(M23:M41)</f>
        <v>0</v>
      </c>
      <c r="N42" s="17">
        <f t="shared" si="13"/>
        <v>343066.17666666664</v>
      </c>
      <c r="O42" s="17">
        <f t="shared" si="13"/>
        <v>371106.08999999997</v>
      </c>
      <c r="P42" s="34">
        <f t="shared" si="13"/>
        <v>0</v>
      </c>
      <c r="Q42" s="62">
        <f>SUM(Q23:Q41)</f>
        <v>738682.6116666666</v>
      </c>
      <c r="R42" s="17">
        <f>SUM(R23:R41)</f>
        <v>73868.26116666668</v>
      </c>
      <c r="S42" s="17">
        <f>SUM(S23:S41)</f>
        <v>203137.71820833333</v>
      </c>
      <c r="T42" s="17">
        <f t="shared" si="13"/>
        <v>39</v>
      </c>
      <c r="U42" s="17">
        <f t="shared" si="13"/>
        <v>3834.35</v>
      </c>
      <c r="V42" s="17">
        <v>54</v>
      </c>
      <c r="W42" s="17">
        <f>SUM(W23:W41)</f>
        <v>5087.887499999999</v>
      </c>
      <c r="X42" s="17">
        <f>SUM(X23:X41)</f>
        <v>0</v>
      </c>
      <c r="Y42" s="17">
        <f>SUM(Y23:Y41)</f>
        <v>0</v>
      </c>
      <c r="Z42" s="34"/>
      <c r="AA42" s="17">
        <f aca="true" t="shared" si="14" ref="AA42:AH42">SUM(AA23:AA41)</f>
        <v>15044</v>
      </c>
      <c r="AB42" s="17">
        <f t="shared" si="14"/>
        <v>0</v>
      </c>
      <c r="AC42" s="17">
        <f t="shared" si="14"/>
        <v>0</v>
      </c>
      <c r="AD42" s="17">
        <f t="shared" si="14"/>
        <v>0</v>
      </c>
      <c r="AE42" s="17">
        <f t="shared" si="14"/>
        <v>0</v>
      </c>
      <c r="AF42" s="66">
        <f t="shared" si="14"/>
        <v>1039654.8285416667</v>
      </c>
      <c r="AG42" s="66">
        <f t="shared" si="14"/>
        <v>1169421.0305416666</v>
      </c>
      <c r="AH42" s="18">
        <f t="shared" si="14"/>
        <v>0</v>
      </c>
    </row>
    <row r="43" spans="1:34" ht="12.7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0.25">
      <c r="A44" s="23"/>
      <c r="B44" s="38" t="s">
        <v>18</v>
      </c>
      <c r="C44" s="38" t="s">
        <v>52</v>
      </c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04"/>
      <c r="V44" s="204"/>
      <c r="W44" s="204"/>
      <c r="X44" s="26"/>
      <c r="Y44" s="26"/>
      <c r="Z44" s="37" t="s">
        <v>99</v>
      </c>
      <c r="AA44" s="38"/>
      <c r="AB44" s="38"/>
      <c r="AC44" s="38"/>
      <c r="AD44" s="38"/>
      <c r="AE44" s="38" t="s">
        <v>100</v>
      </c>
      <c r="AF44" s="39"/>
      <c r="AG44" s="23"/>
      <c r="AH44" s="23"/>
    </row>
    <row r="45" spans="1:34" ht="12.75">
      <c r="A45" s="1"/>
      <c r="B45" s="19"/>
      <c r="C45" s="19"/>
      <c r="D45" s="19"/>
      <c r="E45" s="19"/>
      <c r="F45" s="20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1"/>
      <c r="Y45" s="21"/>
      <c r="Z45" s="4"/>
      <c r="AA45" s="19"/>
      <c r="AB45" s="19"/>
      <c r="AC45" s="19"/>
      <c r="AD45" s="19"/>
      <c r="AE45" s="19"/>
      <c r="AF45" s="2"/>
      <c r="AG45" s="1"/>
      <c r="AH45" s="1"/>
    </row>
  </sheetData>
  <sheetProtection/>
  <mergeCells count="45">
    <mergeCell ref="S21:S22"/>
    <mergeCell ref="H21:H22"/>
    <mergeCell ref="Z21:AE21"/>
    <mergeCell ref="AF21:AF22"/>
    <mergeCell ref="AG21:AG22"/>
    <mergeCell ref="AH21:AH22"/>
    <mergeCell ref="U44:W44"/>
    <mergeCell ref="K21:M21"/>
    <mergeCell ref="N21:P21"/>
    <mergeCell ref="Q21:Q22"/>
    <mergeCell ref="R21:R22"/>
    <mergeCell ref="A21:A22"/>
    <mergeCell ref="B21:B22"/>
    <mergeCell ref="C21:C22"/>
    <mergeCell ref="D21:D22"/>
    <mergeCell ref="F21:F22"/>
    <mergeCell ref="G21:G22"/>
    <mergeCell ref="I21:I22"/>
    <mergeCell ref="AA13:AC13"/>
    <mergeCell ref="AE14:AH14"/>
    <mergeCell ref="G15:Z15"/>
    <mergeCell ref="AE15:AH15"/>
    <mergeCell ref="AE16:AH16"/>
    <mergeCell ref="AF17:AG17"/>
    <mergeCell ref="T21:Y21"/>
    <mergeCell ref="AF18:AG18"/>
    <mergeCell ref="A5:C5"/>
    <mergeCell ref="G5:Z5"/>
    <mergeCell ref="AA11:AC11"/>
    <mergeCell ref="AF19:AG19"/>
    <mergeCell ref="N13:V13"/>
    <mergeCell ref="AA9:AC9"/>
    <mergeCell ref="B10:Z10"/>
    <mergeCell ref="AA10:AC10"/>
    <mergeCell ref="AA5:AC5"/>
    <mergeCell ref="G6:Z6"/>
    <mergeCell ref="G12:Z12"/>
    <mergeCell ref="AA12:AC12"/>
    <mergeCell ref="AA8:AC8"/>
    <mergeCell ref="G8:Z8"/>
    <mergeCell ref="G4:Z4"/>
    <mergeCell ref="AA4:AC4"/>
    <mergeCell ref="AA6:AC6"/>
    <mergeCell ref="G7:Z7"/>
    <mergeCell ref="AA7:A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2020-09-11T12:18:25Z</cp:lastPrinted>
  <dcterms:created xsi:type="dcterms:W3CDTF">2014-03-18T18:18:42Z</dcterms:created>
  <dcterms:modified xsi:type="dcterms:W3CDTF">2020-09-21T03:40:17Z</dcterms:modified>
  <cp:category/>
  <cp:version/>
  <cp:contentType/>
  <cp:contentStatus/>
</cp:coreProperties>
</file>